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omments2.xml" ContentType="application/vnd.openxmlformats-officedocument.spreadsheetml.comments+xml"/>
  <Override PartName="/xl/charts/chart14.xml" ContentType="application/vnd.openxmlformats-officedocument.drawingml.chart+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5.xml" ContentType="application/vnd.openxmlformats-officedocument.drawingml.chart+xml"/>
  <Override PartName="/xl/drawings/drawing25.xml" ContentType="application/vnd.openxmlformats-officedocument.drawing+xml"/>
  <Override PartName="/xl/charts/chart26.xml" ContentType="application/vnd.openxmlformats-officedocument.drawingml.chart+xml"/>
  <Override PartName="/xl/drawings/drawing26.xml" ContentType="application/vnd.openxmlformats-officedocument.drawing+xml"/>
  <Override PartName="/xl/charts/chart27.xml" ContentType="application/vnd.openxmlformats-officedocument.drawingml.chart+xml"/>
  <Override PartName="/xl/drawings/drawing27.xml" ContentType="application/vnd.openxmlformats-officedocument.drawing+xml"/>
  <Override PartName="/xl/charts/chart28.xml" ContentType="application/vnd.openxmlformats-officedocument.drawingml.chart+xml"/>
  <Override PartName="/xl/drawings/drawing28.xml" ContentType="application/vnd.openxmlformats-officedocument.drawing+xml"/>
  <Override PartName="/xl/charts/chart29.xml" ContentType="application/vnd.openxmlformats-officedocument.drawingml.chart+xml"/>
  <Override PartName="/xl/drawings/drawing29.xml" ContentType="application/vnd.openxmlformats-officedocument.drawing+xml"/>
  <Override PartName="/xl/comments3.xml" ContentType="application/vnd.openxmlformats-officedocument.spreadsheetml.comments+xml"/>
  <Override PartName="/xl/charts/chart30.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0.xml" ContentType="application/vnd.openxmlformats-officedocument.drawing+xml"/>
  <Override PartName="/xl/charts/chart31.xml" ContentType="application/vnd.openxmlformats-officedocument.drawingml.chart+xml"/>
  <Override PartName="/xl/drawings/drawing31.xml" ContentType="application/vnd.openxmlformats-officedocument.drawing+xml"/>
  <Override PartName="/xl/charts/chart32.xml" ContentType="application/vnd.openxmlformats-officedocument.drawingml.chart+xml"/>
  <Override PartName="/xl/drawings/drawing32.xml" ContentType="application/vnd.openxmlformats-officedocument.drawing+xml"/>
  <Override PartName="/xl/charts/chart33.xml" ContentType="application/vnd.openxmlformats-officedocument.drawingml.chart+xml"/>
  <Override PartName="/xl/drawings/drawing33.xml" ContentType="application/vnd.openxmlformats-officedocument.drawing+xml"/>
  <Override PartName="/xl/charts/chart34.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drawings/drawing34.xml" ContentType="application/vnd.openxmlformats-officedocument.drawing+xml"/>
  <Override PartName="/xl/charts/chart35.xml" ContentType="application/vnd.openxmlformats-officedocument.drawingml.chart+xml"/>
  <Override PartName="/xl/drawings/drawing35.xml" ContentType="application/vnd.openxmlformats-officedocument.drawing+xml"/>
  <Override PartName="/xl/comments6.xml" ContentType="application/vnd.openxmlformats-officedocument.spreadsheetml.comments+xml"/>
  <Override PartName="/xl/charts/chart3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nicolef\Downloads\"/>
    </mc:Choice>
  </mc:AlternateContent>
  <xr:revisionPtr revIDLastSave="0" documentId="13_ncr:1_{02E91E5B-7C58-4602-9268-9429BE475CA6}" xr6:coauthVersionLast="47" xr6:coauthVersionMax="47" xr10:uidLastSave="{00000000-0000-0000-0000-000000000000}"/>
  <bookViews>
    <workbookView xWindow="26355" yWindow="-16320" windowWidth="29040" windowHeight="15840" xr2:uid="{00000000-000D-0000-FFFF-FFFF00000000}"/>
  </bookViews>
  <sheets>
    <sheet name="File description" sheetId="1" r:id="rId1"/>
    <sheet name="Index" sheetId="2" r:id="rId2"/>
    <sheet name="Dashboard page 1" sheetId="82" r:id="rId3"/>
    <sheet name="Dashboard page 2" sheetId="85" r:id="rId4"/>
    <sheet name="WPI Progress Circle short-term" sheetId="84" r:id="rId5"/>
    <sheet name="Most recent trends" sheetId="87" r:id="rId6"/>
    <sheet name="Building activity" sheetId="39" r:id="rId7"/>
    <sheet name="Employment" sheetId="37" r:id="rId8"/>
    <sheet name="Income" sheetId="41" r:id="rId9"/>
    <sheet name="Regional GDP" sheetId="42" r:id="rId10"/>
    <sheet name="Water use" sheetId="28" r:id="rId11"/>
    <sheet name="Community engagement" sheetId="9" r:id="rId12"/>
    <sheet name="Community pride" sheetId="48" r:id="rId13"/>
    <sheet name="Crime" sheetId="54" r:id="rId14"/>
    <sheet name="Cultural respect" sheetId="45" r:id="rId15"/>
    <sheet name="Educational attainment" sheetId="32" r:id="rId16"/>
    <sheet name="Housing affordability" sheetId="59" r:id="rId17"/>
    <sheet name="Income inequality" sheetId="40" r:id="rId18"/>
    <sheet name="Life expectancy" sheetId="53" r:id="rId19"/>
    <sheet name="Life satisfaction" sheetId="51" r:id="rId20"/>
    <sheet name="Perceived health" sheetId="52" r:id="rId21"/>
    <sheet name="Perceptions of safety" sheetId="56" r:id="rId22"/>
    <sheet name="Physical activity" sheetId="47" r:id="rId23"/>
    <sheet name="Public transport use" sheetId="33" r:id="rId24"/>
    <sheet name="Road safety" sheetId="81" r:id="rId25"/>
    <sheet name="Social connectedness" sheetId="49" r:id="rId26"/>
    <sheet name="Te Reo Māori speakers" sheetId="44" r:id="rId27"/>
    <sheet name="Voter turnout" sheetId="12" r:id="rId28"/>
    <sheet name="Air quality" sheetId="22" r:id="rId29"/>
    <sheet name="Coastal habitats" sheetId="17" r:id="rId30"/>
    <sheet name="Environmental attitudes" sheetId="27" r:id="rId31"/>
    <sheet name="Greenhouse gases" sheetId="21" r:id="rId32"/>
    <sheet name="Indigenous vegetation" sheetId="20" r:id="rId33"/>
    <sheet name="Recycling" sheetId="14" r:id="rId34"/>
    <sheet name="Rural subdivision" sheetId="23" r:id="rId35"/>
    <sheet name="River water quality" sheetId="25" r:id="rId36"/>
    <sheet name="Soil quality" sheetId="24" r:id="rId37"/>
    <sheet name="Waste" sheetId="15" r:id="rId38"/>
    <sheet name="WPI time series" sheetId="67" r:id="rId39"/>
    <sheet name="WPI Score Card" sheetId="75" r:id="rId40"/>
    <sheet name="WPI Progress Circle long-term" sheetId="69" r:id="rId41"/>
    <sheet name="WPI Relative Wellbeing Circle" sheetId="68" r:id="rId42"/>
    <sheet name="Index of Wellbeing" sheetId="83" r:id="rId43"/>
    <sheet name="NZ and regional comparisons" sheetId="76" r:id="rId44"/>
    <sheet name="List of secondary indicators" sheetId="71" r:id="rId45"/>
  </sheets>
  <definedNames>
    <definedName name="_xlnm._FilterDatabase" localSheetId="40" hidden="1">'WPI Progress Circle long-term'!$A$11:$G$75</definedName>
    <definedName name="_xlnm._FilterDatabase" localSheetId="41" hidden="1">'WPI Relative Wellbeing Circle'!$A$11:$N$47</definedName>
    <definedName name="_xlnm._FilterDatabase" localSheetId="39" hidden="1">'WPI Score Card'!$A$14:$P$49</definedName>
    <definedName name="_xlnm.Print_Area" localSheetId="2">'Dashboard page 1'!$A$6:$I$28</definedName>
    <definedName name="_xlnm.Print_Area" localSheetId="3">'Dashboard page 2'!$A$7:$G$18</definedName>
    <definedName name="_xlnm.Print_Area" localSheetId="43">'NZ and regional comparisons'!$A$14:$G$46</definedName>
    <definedName name="_xlnm.Print_Area" localSheetId="35">'River water quality'!$A$14:$L$14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23" l="1"/>
  <c r="X9" i="83"/>
  <c r="W29" i="67"/>
  <c r="X38" i="83"/>
  <c r="X39" i="83"/>
  <c r="X40" i="83"/>
  <c r="X41" i="83"/>
  <c r="X8" i="83" s="1"/>
  <c r="X42" i="83"/>
  <c r="X43" i="83"/>
  <c r="X44" i="83"/>
  <c r="X45" i="83"/>
  <c r="X46" i="83"/>
  <c r="X47" i="83"/>
  <c r="X49" i="83"/>
  <c r="X50" i="83"/>
  <c r="X51" i="83"/>
  <c r="X52" i="83"/>
  <c r="X53" i="83"/>
  <c r="X54" i="83"/>
  <c r="X55" i="83"/>
  <c r="X56" i="83"/>
  <c r="X57" i="83"/>
  <c r="X58" i="83"/>
  <c r="X59" i="83"/>
  <c r="X60" i="83"/>
  <c r="X61" i="83"/>
  <c r="X62" i="83"/>
  <c r="X63" i="83"/>
  <c r="X64" i="83"/>
  <c r="X65" i="83"/>
  <c r="X66" i="83"/>
  <c r="X67" i="83"/>
  <c r="X68" i="83"/>
  <c r="X69" i="83"/>
  <c r="C48" i="75"/>
  <c r="X50" i="67"/>
  <c r="X47" i="67"/>
  <c r="X46" i="67"/>
  <c r="X45" i="67"/>
  <c r="X43" i="67"/>
  <c r="X42" i="67"/>
  <c r="X40" i="67"/>
  <c r="X39" i="67"/>
  <c r="X38" i="67"/>
  <c r="X35" i="67"/>
  <c r="X34" i="67"/>
  <c r="X33" i="67"/>
  <c r="X32" i="67"/>
  <c r="X31" i="67"/>
  <c r="X27" i="67"/>
  <c r="X25" i="67"/>
  <c r="X24" i="67"/>
  <c r="X49" i="67"/>
  <c r="X48" i="67"/>
  <c r="C47" i="75" s="1"/>
  <c r="C28" i="75"/>
  <c r="X30" i="67"/>
  <c r="C40" i="75"/>
  <c r="X41" i="67"/>
  <c r="C35" i="75"/>
  <c r="W37" i="67"/>
  <c r="X37" i="67" s="1"/>
  <c r="C18" i="75"/>
  <c r="X21" i="67"/>
  <c r="C17" i="75"/>
  <c r="X20" i="67"/>
  <c r="C19" i="75"/>
  <c r="X22" i="67"/>
  <c r="C24" i="75"/>
  <c r="X26" i="67"/>
  <c r="C27" i="75"/>
  <c r="X29" i="67"/>
  <c r="C16" i="75"/>
  <c r="X19" i="67"/>
  <c r="C20" i="75"/>
  <c r="X23" i="67"/>
  <c r="W28" i="67"/>
  <c r="C26" i="75" s="1"/>
  <c r="C34" i="75"/>
  <c r="X36" i="67"/>
  <c r="C43" i="75"/>
  <c r="W44" i="67"/>
  <c r="X44" i="67" s="1"/>
  <c r="AB44" i="87"/>
  <c r="AB43" i="87"/>
  <c r="AB42" i="87"/>
  <c r="AB41" i="87"/>
  <c r="AB40" i="87"/>
  <c r="AB39" i="87"/>
  <c r="AB38" i="87"/>
  <c r="AB37" i="87"/>
  <c r="AB36" i="87"/>
  <c r="AB35" i="87"/>
  <c r="AB34" i="87"/>
  <c r="AB33" i="87"/>
  <c r="AB32" i="87"/>
  <c r="AB31" i="87"/>
  <c r="AB30" i="87"/>
  <c r="AB29" i="87"/>
  <c r="AB28" i="87"/>
  <c r="AB27" i="87"/>
  <c r="AB26" i="87"/>
  <c r="AB25" i="87"/>
  <c r="AB24" i="87"/>
  <c r="AB23" i="87"/>
  <c r="AB22" i="87"/>
  <c r="AB21" i="87"/>
  <c r="AB20" i="87"/>
  <c r="AB19" i="87"/>
  <c r="AB18" i="87"/>
  <c r="AB17" i="87"/>
  <c r="AB16" i="87"/>
  <c r="AB15" i="87"/>
  <c r="AB14" i="87"/>
  <c r="AB13" i="87"/>
  <c r="AC44" i="87"/>
  <c r="AC43" i="87"/>
  <c r="AC35" i="87"/>
  <c r="AC32" i="87"/>
  <c r="AC28" i="87"/>
  <c r="AD26" i="87"/>
  <c r="AC25" i="87"/>
  <c r="AC24" i="87"/>
  <c r="AC20" i="87"/>
  <c r="AC19" i="87"/>
  <c r="AC16" i="87"/>
  <c r="AC15" i="87"/>
  <c r="W40" i="67"/>
  <c r="C38" i="75" s="1"/>
  <c r="AC14" i="87"/>
  <c r="AC18" i="87"/>
  <c r="AC21" i="87"/>
  <c r="AC26" i="87"/>
  <c r="AC27" i="87"/>
  <c r="AC29" i="87"/>
  <c r="AC30" i="87"/>
  <c r="AC37" i="87"/>
  <c r="AC42" i="87"/>
  <c r="AC13" i="87"/>
  <c r="W30" i="67"/>
  <c r="V37" i="67"/>
  <c r="V42" i="67"/>
  <c r="C41" i="75" s="1"/>
  <c r="W49" i="67"/>
  <c r="W48" i="67"/>
  <c r="W23" i="67"/>
  <c r="V41" i="67"/>
  <c r="W41" i="67"/>
  <c r="W26" i="67"/>
  <c r="W22" i="67"/>
  <c r="W19" i="67"/>
  <c r="W21" i="67"/>
  <c r="W36" i="67"/>
  <c r="B36" i="67"/>
  <c r="C36" i="67"/>
  <c r="U44" i="67"/>
  <c r="V44" i="67"/>
  <c r="N48" i="84"/>
  <c r="M48" i="84"/>
  <c r="N47" i="84"/>
  <c r="M47" i="84"/>
  <c r="N45" i="84"/>
  <c r="M45" i="84"/>
  <c r="N44" i="84"/>
  <c r="M44" i="84"/>
  <c r="N42" i="84"/>
  <c r="M42" i="84"/>
  <c r="N40" i="84"/>
  <c r="M40" i="84"/>
  <c r="N38" i="84"/>
  <c r="M38" i="84"/>
  <c r="N37" i="84"/>
  <c r="M37" i="84"/>
  <c r="N36" i="84"/>
  <c r="M36" i="84"/>
  <c r="N34" i="84"/>
  <c r="M34" i="84"/>
  <c r="N33" i="84"/>
  <c r="M33" i="84"/>
  <c r="N32" i="84"/>
  <c r="M32" i="84"/>
  <c r="N31" i="84"/>
  <c r="M31" i="84"/>
  <c r="N30" i="84"/>
  <c r="M30" i="84"/>
  <c r="N28" i="84"/>
  <c r="M28" i="84"/>
  <c r="N27" i="84"/>
  <c r="M27" i="84"/>
  <c r="N26" i="84"/>
  <c r="M26" i="84"/>
  <c r="N25" i="84"/>
  <c r="M25" i="84"/>
  <c r="N23" i="84"/>
  <c r="M23" i="84"/>
  <c r="N22" i="84"/>
  <c r="M22" i="84"/>
  <c r="N20" i="84"/>
  <c r="M20" i="84"/>
  <c r="N17" i="84"/>
  <c r="M17" i="84"/>
  <c r="B20" i="67"/>
  <c r="C20" i="67"/>
  <c r="D20" i="67"/>
  <c r="E20" i="67"/>
  <c r="F20" i="67"/>
  <c r="W20" i="67"/>
  <c r="T47" i="67"/>
  <c r="C46" i="75" s="1"/>
  <c r="C47" i="67"/>
  <c r="B47" i="67" s="1"/>
  <c r="U42" i="67"/>
  <c r="H49" i="67"/>
  <c r="W27" i="67"/>
  <c r="C25" i="75" s="1"/>
  <c r="C25" i="84" s="1"/>
  <c r="W38" i="67"/>
  <c r="C36" i="75" s="1"/>
  <c r="C36" i="84" s="1"/>
  <c r="W35" i="67"/>
  <c r="C33" i="75" s="1"/>
  <c r="C33" i="84" s="1"/>
  <c r="W33" i="67"/>
  <c r="C31" i="75" s="1"/>
  <c r="C31" i="84" s="1"/>
  <c r="W24" i="67"/>
  <c r="C22" i="75" s="1"/>
  <c r="C22" i="84" s="1"/>
  <c r="W34" i="67"/>
  <c r="C32" i="75" s="1"/>
  <c r="C32" i="84" s="1"/>
  <c r="W25" i="67"/>
  <c r="C23" i="75" s="1"/>
  <c r="C23" i="84" s="1"/>
  <c r="W32" i="67"/>
  <c r="C30" i="75" s="1"/>
  <c r="C30" i="84" s="1"/>
  <c r="B17" i="76" l="1"/>
  <c r="C17" i="84"/>
  <c r="X28" i="67"/>
  <c r="C43" i="84"/>
  <c r="W42" i="67"/>
  <c r="AC36" i="87"/>
  <c r="AC39" i="87"/>
  <c r="AC22" i="87"/>
  <c r="AD22" i="87" s="1"/>
  <c r="AC17" i="87"/>
  <c r="AC38" i="87"/>
  <c r="AD38" i="87" s="1"/>
  <c r="AC23" i="87"/>
  <c r="AD23" i="87" s="1"/>
  <c r="AC31" i="87"/>
  <c r="AD36" i="87"/>
  <c r="AC41" i="87"/>
  <c r="AC40" i="87"/>
  <c r="AD40" i="87" s="1"/>
  <c r="AC33" i="87"/>
  <c r="AD42" i="87"/>
  <c r="AD14" i="87"/>
  <c r="AD44" i="87"/>
  <c r="AD43" i="87"/>
  <c r="AD28" i="87"/>
  <c r="AD19" i="87"/>
  <c r="AD27" i="87"/>
  <c r="AD21" i="87"/>
  <c r="AD20" i="87"/>
  <c r="AD15" i="87"/>
  <c r="AD18" i="87"/>
  <c r="AD29" i="87"/>
  <c r="AD24" i="87"/>
  <c r="AD35" i="87"/>
  <c r="AD16" i="87"/>
  <c r="B43" i="76"/>
  <c r="C46" i="84"/>
  <c r="AD30" i="87"/>
  <c r="V28" i="67"/>
  <c r="U49" i="67"/>
  <c r="V49" i="67"/>
  <c r="C48" i="84" s="1"/>
  <c r="T49" i="67"/>
  <c r="C26" i="84" l="1"/>
  <c r="AD31" i="87"/>
  <c r="AD33" i="87"/>
  <c r="AC34" i="87"/>
  <c r="AD34" i="87" s="1"/>
  <c r="AD32" i="87"/>
  <c r="AD41" i="87"/>
  <c r="AD17" i="87"/>
  <c r="AD39" i="87"/>
  <c r="AD25" i="87"/>
  <c r="N46" i="84"/>
  <c r="M46" i="84"/>
  <c r="AD13" i="87"/>
  <c r="C41" i="84"/>
  <c r="U30" i="67"/>
  <c r="V30" i="67"/>
  <c r="C28" i="84" s="1"/>
  <c r="U50" i="67"/>
  <c r="V50" i="67" s="1"/>
  <c r="W50" i="67" s="1"/>
  <c r="W43" i="67"/>
  <c r="C42" i="75" s="1"/>
  <c r="C42" i="84" s="1"/>
  <c r="V23" i="67"/>
  <c r="C20" i="84" s="1"/>
  <c r="V48" i="67"/>
  <c r="C47" i="84" s="1"/>
  <c r="V26" i="67"/>
  <c r="C24" i="84" s="1"/>
  <c r="V22" i="67"/>
  <c r="C19" i="84" s="1"/>
  <c r="U37" i="67"/>
  <c r="V19" i="67"/>
  <c r="C16" i="84" s="1"/>
  <c r="V36" i="67"/>
  <c r="C34" i="84" s="1"/>
  <c r="V29" i="67"/>
  <c r="C27" i="84" s="1"/>
  <c r="V20" i="67"/>
  <c r="I44" i="67"/>
  <c r="J44" i="67"/>
  <c r="K44" i="67"/>
  <c r="L44" i="67"/>
  <c r="M44" i="67"/>
  <c r="N44" i="67"/>
  <c r="O44" i="67"/>
  <c r="P44" i="67"/>
  <c r="Q44" i="67"/>
  <c r="R44" i="67"/>
  <c r="S44" i="67"/>
  <c r="B43" i="84" s="1"/>
  <c r="T44" i="67"/>
  <c r="H44" i="67"/>
  <c r="V21" i="67"/>
  <c r="C18" i="84" s="1"/>
  <c r="U28" i="67"/>
  <c r="S31" i="67"/>
  <c r="G44" i="67" l="1"/>
  <c r="F44" i="67" s="1"/>
  <c r="E44" i="67" s="1"/>
  <c r="D44" i="67" s="1"/>
  <c r="C44" i="67" s="1"/>
  <c r="B44" i="67" s="1"/>
  <c r="B43" i="75"/>
  <c r="J43" i="84"/>
  <c r="F43" i="84" s="1"/>
  <c r="Z63" i="84" s="1"/>
  <c r="L43" i="84"/>
  <c r="C29" i="75"/>
  <c r="C29" i="84" s="1"/>
  <c r="M29" i="84" s="1"/>
  <c r="B29" i="84"/>
  <c r="AD37" i="87"/>
  <c r="M24" i="84"/>
  <c r="N24" i="84"/>
  <c r="N18" i="84"/>
  <c r="M18" i="84"/>
  <c r="C49" i="75"/>
  <c r="C49" i="84" s="1"/>
  <c r="C35" i="84"/>
  <c r="M41" i="84"/>
  <c r="N41" i="84"/>
  <c r="M16" i="84"/>
  <c r="N16" i="84"/>
  <c r="E43" i="84"/>
  <c r="D43" i="84" s="1"/>
  <c r="X63" i="84" s="1"/>
  <c r="U23" i="67"/>
  <c r="T42" i="67"/>
  <c r="S37" i="67"/>
  <c r="B35" i="84" s="1"/>
  <c r="T37" i="67"/>
  <c r="U22" i="67"/>
  <c r="U48" i="67"/>
  <c r="U41" i="67"/>
  <c r="C40" i="84" s="1"/>
  <c r="C26" i="67"/>
  <c r="D26" i="67"/>
  <c r="E26" i="67"/>
  <c r="F26" i="67"/>
  <c r="G26" i="67"/>
  <c r="H26" i="67"/>
  <c r="I26" i="67"/>
  <c r="J26" i="67"/>
  <c r="K26" i="67"/>
  <c r="L26" i="67"/>
  <c r="M26" i="67"/>
  <c r="N26" i="67"/>
  <c r="O26" i="67"/>
  <c r="P26" i="67"/>
  <c r="Q26" i="67"/>
  <c r="R26" i="67"/>
  <c r="S26" i="67"/>
  <c r="B24" i="84" s="1"/>
  <c r="T26" i="67"/>
  <c r="U26" i="67"/>
  <c r="B26" i="67"/>
  <c r="U29" i="67"/>
  <c r="U19" i="67"/>
  <c r="U20" i="67"/>
  <c r="T28" i="67"/>
  <c r="U27" i="67"/>
  <c r="V27" i="67" s="1"/>
  <c r="U38" i="67"/>
  <c r="V38" i="67" s="1"/>
  <c r="U35" i="67"/>
  <c r="V35" i="67" s="1"/>
  <c r="U33" i="67"/>
  <c r="V33" i="67" s="1"/>
  <c r="U24" i="67"/>
  <c r="V24" i="67" s="1"/>
  <c r="U34" i="67"/>
  <c r="V34" i="67" s="1"/>
  <c r="U25" i="67"/>
  <c r="V25" i="67" s="1"/>
  <c r="U32" i="67"/>
  <c r="V32" i="67" s="1"/>
  <c r="U21" i="67"/>
  <c r="W63" i="84" l="1"/>
  <c r="N29" i="84"/>
  <c r="J24" i="84"/>
  <c r="F24" i="84" s="1"/>
  <c r="Z27" i="84" s="1"/>
  <c r="M35" i="84"/>
  <c r="N35" i="84"/>
  <c r="N49" i="84"/>
  <c r="M49" i="84"/>
  <c r="U36" i="67"/>
  <c r="E24" i="84" l="1"/>
  <c r="Y27" i="84" s="1"/>
  <c r="W27" i="84"/>
  <c r="F15" i="76"/>
  <c r="B19" i="67"/>
  <c r="D24" i="84" l="1"/>
  <c r="X27" i="84" s="1"/>
  <c r="S45" i="67"/>
  <c r="M45" i="67"/>
  <c r="C44" i="75" l="1"/>
  <c r="C44" i="84" s="1"/>
  <c r="B44" i="84"/>
  <c r="N45" i="67"/>
  <c r="O45" i="67" s="1"/>
  <c r="P45" i="67" s="1"/>
  <c r="T45" i="67"/>
  <c r="U45" i="67" s="1"/>
  <c r="V45" i="67" s="1"/>
  <c r="W45" i="67" s="1"/>
  <c r="G6" i="82"/>
  <c r="Q45" i="67" l="1"/>
  <c r="R45" i="67" s="1"/>
  <c r="J44" i="84" s="1"/>
  <c r="W65" i="84" l="1"/>
  <c r="F44" i="84"/>
  <c r="Z65" i="84" s="1"/>
  <c r="E44" i="84"/>
  <c r="D44" i="84" s="1"/>
  <c r="X65" i="84" s="1"/>
  <c r="T40" i="67"/>
  <c r="U40" i="67" s="1"/>
  <c r="V40" i="67" s="1"/>
  <c r="C38" i="84" l="1"/>
  <c r="S30" i="67"/>
  <c r="B28" i="84" s="1"/>
  <c r="T23" i="67"/>
  <c r="T30" i="67"/>
  <c r="S39" i="67"/>
  <c r="T22" i="67"/>
  <c r="D48" i="20"/>
  <c r="D49" i="20"/>
  <c r="D50" i="20"/>
  <c r="D51" i="20"/>
  <c r="D52" i="20"/>
  <c r="D53" i="20"/>
  <c r="D54" i="20"/>
  <c r="D55" i="20"/>
  <c r="D56" i="20"/>
  <c r="D47" i="20"/>
  <c r="S42" i="67"/>
  <c r="T48" i="67"/>
  <c r="T41" i="67"/>
  <c r="T29" i="67"/>
  <c r="M29" i="67"/>
  <c r="I29" i="67"/>
  <c r="T20" i="67"/>
  <c r="S28" i="67"/>
  <c r="B26" i="84" s="1"/>
  <c r="T36" i="67"/>
  <c r="T21" i="67"/>
  <c r="M24" i="75"/>
  <c r="T19" i="67"/>
  <c r="T43" i="67"/>
  <c r="U43" i="67" s="1"/>
  <c r="V43" i="67" s="1"/>
  <c r="S48" i="67"/>
  <c r="B47" i="84" s="1"/>
  <c r="S49" i="67"/>
  <c r="B48" i="84" s="1"/>
  <c r="B60" i="83"/>
  <c r="C60" i="83" s="1"/>
  <c r="A51" i="83"/>
  <c r="A47" i="83"/>
  <c r="A48" i="83"/>
  <c r="A53" i="83"/>
  <c r="A45" i="83"/>
  <c r="A56" i="83"/>
  <c r="A50" i="83"/>
  <c r="A52" i="83"/>
  <c r="A57" i="83"/>
  <c r="A44" i="83"/>
  <c r="A54" i="83"/>
  <c r="A46" i="83"/>
  <c r="A58" i="83"/>
  <c r="A59" i="83"/>
  <c r="A43" i="83"/>
  <c r="A40" i="83"/>
  <c r="A49" i="83"/>
  <c r="A38" i="83"/>
  <c r="A39" i="83"/>
  <c r="A55" i="83"/>
  <c r="A42" i="83"/>
  <c r="A62" i="83"/>
  <c r="A67" i="83"/>
  <c r="A68" i="83"/>
  <c r="A66" i="83"/>
  <c r="A60" i="83"/>
  <c r="A63" i="83"/>
  <c r="A64" i="83"/>
  <c r="A61" i="83"/>
  <c r="A69" i="83"/>
  <c r="A65" i="83"/>
  <c r="A41" i="83"/>
  <c r="F42" i="76"/>
  <c r="F16" i="76"/>
  <c r="F26" i="76"/>
  <c r="F17" i="76"/>
  <c r="F36" i="76"/>
  <c r="F35" i="76"/>
  <c r="F27" i="76"/>
  <c r="F33" i="76"/>
  <c r="F22" i="76"/>
  <c r="F25" i="76"/>
  <c r="F24" i="76"/>
  <c r="N42" i="67"/>
  <c r="O42" i="67"/>
  <c r="P42" i="67"/>
  <c r="Q42" i="67"/>
  <c r="R42" i="67"/>
  <c r="M42" i="67"/>
  <c r="B41" i="75" s="1"/>
  <c r="F18" i="76"/>
  <c r="F28" i="76"/>
  <c r="F34" i="76"/>
  <c r="F21" i="76"/>
  <c r="F31" i="76"/>
  <c r="F20" i="76"/>
  <c r="B22" i="67"/>
  <c r="B41" i="83" s="1"/>
  <c r="C22" i="67"/>
  <c r="D22" i="67"/>
  <c r="E22" i="67"/>
  <c r="F22" i="67"/>
  <c r="G22" i="67"/>
  <c r="H22" i="67"/>
  <c r="B19" i="75" s="1"/>
  <c r="J19" i="75" s="1"/>
  <c r="D19" i="69" s="1"/>
  <c r="I22" i="67"/>
  <c r="J22" i="67"/>
  <c r="K22" i="67"/>
  <c r="L22" i="67"/>
  <c r="M22" i="67"/>
  <c r="N22" i="67"/>
  <c r="O22" i="67"/>
  <c r="P22" i="67"/>
  <c r="Q22" i="67"/>
  <c r="R22" i="67"/>
  <c r="J19" i="84" s="1"/>
  <c r="S22" i="67"/>
  <c r="B19" i="84" s="1"/>
  <c r="G32" i="67"/>
  <c r="B30" i="75" s="1"/>
  <c r="Q32" i="67"/>
  <c r="S32" i="67"/>
  <c r="J28" i="67"/>
  <c r="I28" i="67" s="1"/>
  <c r="H28" i="67" s="1"/>
  <c r="G28" i="67" s="1"/>
  <c r="F28" i="67" s="1"/>
  <c r="E28" i="67" s="1"/>
  <c r="D28" i="67" s="1"/>
  <c r="C28" i="67" s="1"/>
  <c r="B28" i="67" s="1"/>
  <c r="B47" i="83" s="1"/>
  <c r="C47" i="83" s="1"/>
  <c r="D47" i="83" s="1"/>
  <c r="E47" i="83" s="1"/>
  <c r="F47" i="83" s="1"/>
  <c r="G47" i="83" s="1"/>
  <c r="H47" i="83" s="1"/>
  <c r="I47" i="83" s="1"/>
  <c r="J47" i="83" s="1"/>
  <c r="K28" i="67"/>
  <c r="L28" i="67"/>
  <c r="M28" i="67"/>
  <c r="N28" i="67"/>
  <c r="O28" i="67"/>
  <c r="P28" i="67"/>
  <c r="Q28" i="67"/>
  <c r="R28" i="67"/>
  <c r="H29" i="67"/>
  <c r="G29" i="67" s="1"/>
  <c r="F29" i="67" s="1"/>
  <c r="E29" i="67" s="1"/>
  <c r="D29" i="67" s="1"/>
  <c r="C29" i="67" s="1"/>
  <c r="B29" i="67" s="1"/>
  <c r="B48" i="83" s="1"/>
  <c r="C48" i="83" s="1"/>
  <c r="D48" i="83" s="1"/>
  <c r="E48" i="83" s="1"/>
  <c r="F48" i="83" s="1"/>
  <c r="G48" i="83" s="1"/>
  <c r="H48" i="83" s="1"/>
  <c r="J29" i="67"/>
  <c r="K29" i="67"/>
  <c r="L29" i="67"/>
  <c r="N29" i="67"/>
  <c r="O29" i="67"/>
  <c r="P29" i="67"/>
  <c r="Q29" i="67"/>
  <c r="R29" i="67"/>
  <c r="S29" i="67"/>
  <c r="B27" i="84" s="1"/>
  <c r="G34" i="67"/>
  <c r="F34" i="67" s="1"/>
  <c r="E34" i="67" s="1"/>
  <c r="D34" i="67" s="1"/>
  <c r="C34" i="67" s="1"/>
  <c r="B34" i="67" s="1"/>
  <c r="B53" i="83" s="1"/>
  <c r="C53" i="83" s="1"/>
  <c r="D53" i="83" s="1"/>
  <c r="E53" i="83" s="1"/>
  <c r="F53" i="83" s="1"/>
  <c r="G53" i="83" s="1"/>
  <c r="Q34" i="67"/>
  <c r="S34" i="67"/>
  <c r="B45" i="83"/>
  <c r="B24" i="75"/>
  <c r="E37" i="67"/>
  <c r="D37" i="67" s="1"/>
  <c r="C37" i="67" s="1"/>
  <c r="B37" i="67" s="1"/>
  <c r="B56" i="83" s="1"/>
  <c r="C56" i="83" s="1"/>
  <c r="D56" i="83" s="1"/>
  <c r="E56" i="83" s="1"/>
  <c r="F37" i="67"/>
  <c r="G37" i="67"/>
  <c r="H37" i="67"/>
  <c r="B35" i="75" s="1"/>
  <c r="I37" i="67"/>
  <c r="J37" i="67"/>
  <c r="K37" i="67"/>
  <c r="L37" i="67"/>
  <c r="M37" i="67"/>
  <c r="N37" i="67"/>
  <c r="O37" i="67"/>
  <c r="P37" i="67"/>
  <c r="Q37" i="67"/>
  <c r="R37" i="67"/>
  <c r="J35" i="84" s="1"/>
  <c r="B31" i="67"/>
  <c r="B50" i="83" s="1"/>
  <c r="G31" i="67"/>
  <c r="B29" i="75" s="1"/>
  <c r="N31" i="67"/>
  <c r="G33" i="67"/>
  <c r="B31" i="75" s="1"/>
  <c r="J31" i="75" s="1"/>
  <c r="Q33" i="67"/>
  <c r="S33" i="67"/>
  <c r="G38" i="67"/>
  <c r="F38" i="67" s="1"/>
  <c r="E38" i="67" s="1"/>
  <c r="D38" i="67" s="1"/>
  <c r="C38" i="67" s="1"/>
  <c r="B38" i="67" s="1"/>
  <c r="B57" i="83" s="1"/>
  <c r="C57" i="83" s="1"/>
  <c r="D57" i="83" s="1"/>
  <c r="E57" i="83" s="1"/>
  <c r="F57" i="83" s="1"/>
  <c r="G57" i="83" s="1"/>
  <c r="Q38" i="67"/>
  <c r="S38" i="67"/>
  <c r="G25" i="67"/>
  <c r="F25" i="67" s="1"/>
  <c r="E25" i="67" s="1"/>
  <c r="D25" i="67" s="1"/>
  <c r="C25" i="67" s="1"/>
  <c r="B25" i="67" s="1"/>
  <c r="B44" i="83" s="1"/>
  <c r="C44" i="83" s="1"/>
  <c r="D44" i="83" s="1"/>
  <c r="E44" i="83" s="1"/>
  <c r="F44" i="83" s="1"/>
  <c r="G44" i="83" s="1"/>
  <c r="Q25" i="67"/>
  <c r="S25" i="67"/>
  <c r="G35" i="67"/>
  <c r="F35" i="67" s="1"/>
  <c r="E35" i="67" s="1"/>
  <c r="D35" i="67" s="1"/>
  <c r="C35" i="67" s="1"/>
  <c r="B35" i="67" s="1"/>
  <c r="B54" i="83" s="1"/>
  <c r="C54" i="83" s="1"/>
  <c r="D54" i="83" s="1"/>
  <c r="E54" i="83" s="1"/>
  <c r="F54" i="83" s="1"/>
  <c r="G54" i="83" s="1"/>
  <c r="Q35" i="67"/>
  <c r="S35" i="67"/>
  <c r="G27" i="67"/>
  <c r="Q27" i="67"/>
  <c r="S27" i="67"/>
  <c r="B39" i="67"/>
  <c r="B58" i="83" s="1"/>
  <c r="G39" i="67"/>
  <c r="B37" i="75" s="1"/>
  <c r="N39" i="67"/>
  <c r="H40" i="67"/>
  <c r="B38" i="75" s="1"/>
  <c r="K40" i="67"/>
  <c r="N40" i="67"/>
  <c r="Q40" i="67"/>
  <c r="R40" i="67" s="1"/>
  <c r="G24" i="67"/>
  <c r="F24" i="67" s="1"/>
  <c r="E24" i="67" s="1"/>
  <c r="D24" i="67" s="1"/>
  <c r="C24" i="67" s="1"/>
  <c r="B24" i="67" s="1"/>
  <c r="B43" i="83" s="1"/>
  <c r="C43" i="83" s="1"/>
  <c r="D43" i="83" s="1"/>
  <c r="E43" i="83" s="1"/>
  <c r="F43" i="83" s="1"/>
  <c r="G43" i="83" s="1"/>
  <c r="Q24" i="67"/>
  <c r="S24" i="67"/>
  <c r="B21" i="67"/>
  <c r="B40" i="83" s="1"/>
  <c r="C21" i="67"/>
  <c r="D21" i="67"/>
  <c r="E21" i="67"/>
  <c r="F21" i="67"/>
  <c r="G21" i="67"/>
  <c r="H21" i="67"/>
  <c r="B18" i="75" s="1"/>
  <c r="I21" i="67"/>
  <c r="J21" i="67"/>
  <c r="K21" i="67"/>
  <c r="L21" i="67"/>
  <c r="M21" i="67"/>
  <c r="N21" i="67"/>
  <c r="O21" i="67"/>
  <c r="P21" i="67"/>
  <c r="Q21" i="67"/>
  <c r="R21" i="67"/>
  <c r="S21" i="67"/>
  <c r="B18" i="84" s="1"/>
  <c r="H30" i="67"/>
  <c r="G30" i="67" s="1"/>
  <c r="F30" i="67" s="1"/>
  <c r="E30" i="67" s="1"/>
  <c r="D30" i="67" s="1"/>
  <c r="C30" i="67" s="1"/>
  <c r="B30" i="67" s="1"/>
  <c r="B49" i="83" s="1"/>
  <c r="C49" i="83" s="1"/>
  <c r="D49" i="83" s="1"/>
  <c r="E49" i="83" s="1"/>
  <c r="F49" i="83" s="1"/>
  <c r="G49" i="83" s="1"/>
  <c r="H49" i="83" s="1"/>
  <c r="I30" i="67"/>
  <c r="J30" i="67"/>
  <c r="K30" i="67"/>
  <c r="L30" i="67"/>
  <c r="M30" i="67"/>
  <c r="N30" i="67"/>
  <c r="O30" i="67"/>
  <c r="P30" i="67"/>
  <c r="Q30" i="67"/>
  <c r="R30" i="67"/>
  <c r="J28" i="84" s="1"/>
  <c r="B38" i="83"/>
  <c r="C19" i="67"/>
  <c r="D19" i="67"/>
  <c r="E19" i="67"/>
  <c r="F19" i="67"/>
  <c r="G19" i="67"/>
  <c r="H19" i="67"/>
  <c r="B16" i="75" s="1"/>
  <c r="I19" i="67"/>
  <c r="J19" i="67"/>
  <c r="K19" i="67"/>
  <c r="L19" i="67"/>
  <c r="M19" i="67"/>
  <c r="N19" i="67"/>
  <c r="O19" i="67"/>
  <c r="P19" i="67"/>
  <c r="Q19" i="67"/>
  <c r="R19" i="67"/>
  <c r="S19" i="67"/>
  <c r="B16" i="84" s="1"/>
  <c r="G20" i="67"/>
  <c r="B39" i="83" s="1"/>
  <c r="C39" i="83" s="1"/>
  <c r="D39" i="83" s="1"/>
  <c r="E39" i="83" s="1"/>
  <c r="F39" i="83" s="1"/>
  <c r="G39" i="83" s="1"/>
  <c r="H20" i="67"/>
  <c r="B17" i="75" s="1"/>
  <c r="J17" i="75" s="1"/>
  <c r="I20" i="67"/>
  <c r="J20" i="67"/>
  <c r="K20" i="67"/>
  <c r="L20" i="67"/>
  <c r="M20" i="67"/>
  <c r="N20" i="67"/>
  <c r="O20" i="67"/>
  <c r="P20" i="67"/>
  <c r="Q20" i="67"/>
  <c r="R20" i="67"/>
  <c r="J17" i="84" s="1"/>
  <c r="S20" i="67"/>
  <c r="B17" i="84" s="1"/>
  <c r="B55" i="83"/>
  <c r="D36" i="67"/>
  <c r="E36" i="67"/>
  <c r="F36" i="67"/>
  <c r="G36" i="67"/>
  <c r="H36" i="67"/>
  <c r="I36" i="67"/>
  <c r="B34" i="75" s="1"/>
  <c r="J36" i="67"/>
  <c r="K36" i="67"/>
  <c r="L36" i="67"/>
  <c r="M36" i="67"/>
  <c r="N36" i="67"/>
  <c r="O36" i="67"/>
  <c r="P36" i="67"/>
  <c r="Q36" i="67"/>
  <c r="R36" i="67"/>
  <c r="S36" i="67"/>
  <c r="B34" i="84" s="1"/>
  <c r="H23" i="67"/>
  <c r="G23" i="67" s="1"/>
  <c r="F23" i="67" s="1"/>
  <c r="E23" i="67" s="1"/>
  <c r="D23" i="67" s="1"/>
  <c r="C23" i="67" s="1"/>
  <c r="B23" i="67" s="1"/>
  <c r="B42" i="83" s="1"/>
  <c r="C42" i="83" s="1"/>
  <c r="D42" i="83" s="1"/>
  <c r="E42" i="83" s="1"/>
  <c r="F42" i="83" s="1"/>
  <c r="G42" i="83" s="1"/>
  <c r="H42" i="83" s="1"/>
  <c r="I23" i="67"/>
  <c r="J23" i="67"/>
  <c r="K23" i="67"/>
  <c r="L23" i="67"/>
  <c r="M23" i="67"/>
  <c r="N23" i="67"/>
  <c r="O23" i="67"/>
  <c r="P23" i="67"/>
  <c r="Q23" i="67"/>
  <c r="R23" i="67"/>
  <c r="S23" i="67"/>
  <c r="B20" i="84" s="1"/>
  <c r="E43" i="67"/>
  <c r="D43" i="67" s="1"/>
  <c r="C43" i="67" s="1"/>
  <c r="B43" i="67" s="1"/>
  <c r="B62" i="83" s="1"/>
  <c r="C62" i="83" s="1"/>
  <c r="D62" i="83" s="1"/>
  <c r="E62" i="83" s="1"/>
  <c r="I43" i="67"/>
  <c r="N43" i="67"/>
  <c r="Q43" i="67"/>
  <c r="H48" i="67"/>
  <c r="B47" i="75" s="1"/>
  <c r="J47" i="75" s="1"/>
  <c r="I48" i="67"/>
  <c r="M48" i="67"/>
  <c r="N48" i="67"/>
  <c r="O48" i="67"/>
  <c r="P48" i="67"/>
  <c r="Q48" i="67"/>
  <c r="R48" i="67"/>
  <c r="D49" i="67"/>
  <c r="C49" i="67" s="1"/>
  <c r="B49" i="67" s="1"/>
  <c r="B68" i="83" s="1"/>
  <c r="C68" i="83" s="1"/>
  <c r="D68" i="83" s="1"/>
  <c r="E49" i="67"/>
  <c r="F49" i="67"/>
  <c r="G49" i="67"/>
  <c r="B48" i="75"/>
  <c r="I49" i="67"/>
  <c r="J49" i="67"/>
  <c r="K49" i="67"/>
  <c r="L49" i="67"/>
  <c r="M49" i="67"/>
  <c r="N49" i="67"/>
  <c r="O49" i="67"/>
  <c r="P49" i="67"/>
  <c r="Q49" i="67"/>
  <c r="R49" i="67"/>
  <c r="D41" i="67"/>
  <c r="E41" i="67"/>
  <c r="F41" i="67"/>
  <c r="G41" i="67"/>
  <c r="H41" i="67"/>
  <c r="B40" i="75" s="1"/>
  <c r="J40" i="75" s="1"/>
  <c r="D57" i="69" s="1"/>
  <c r="I41" i="67"/>
  <c r="J41" i="67"/>
  <c r="K41" i="67"/>
  <c r="L41" i="67"/>
  <c r="M41" i="67"/>
  <c r="N41" i="67"/>
  <c r="O41" i="67"/>
  <c r="P41" i="67"/>
  <c r="Q41" i="67"/>
  <c r="R41" i="67"/>
  <c r="S41" i="67"/>
  <c r="L45" i="67"/>
  <c r="K45" i="67" s="1"/>
  <c r="J45" i="67" s="1"/>
  <c r="G50" i="67"/>
  <c r="B49" i="75" s="1"/>
  <c r="M50" i="67"/>
  <c r="P50" i="67"/>
  <c r="R50" i="67"/>
  <c r="I46" i="67"/>
  <c r="H46" i="67" s="1"/>
  <c r="G46" i="67" s="1"/>
  <c r="F46" i="67" s="1"/>
  <c r="E46" i="67" s="1"/>
  <c r="D46" i="67" s="1"/>
  <c r="C46" i="67" s="1"/>
  <c r="B46" i="67" s="1"/>
  <c r="B65" i="83" s="1"/>
  <c r="C65" i="83" s="1"/>
  <c r="D65" i="83" s="1"/>
  <c r="E65" i="83" s="1"/>
  <c r="F65" i="83" s="1"/>
  <c r="G65" i="83" s="1"/>
  <c r="H65" i="83" s="1"/>
  <c r="I65" i="83" s="1"/>
  <c r="K46" i="67"/>
  <c r="M46" i="67"/>
  <c r="F19" i="68"/>
  <c r="F35" i="68"/>
  <c r="F27" i="68"/>
  <c r="F29" i="68"/>
  <c r="M31" i="68"/>
  <c r="N31" i="68"/>
  <c r="F15" i="68"/>
  <c r="F47" i="68"/>
  <c r="C19" i="68"/>
  <c r="K19" i="68" s="1"/>
  <c r="J19" i="68" s="1"/>
  <c r="I19" i="68" s="1"/>
  <c r="M30" i="75"/>
  <c r="N30" i="75"/>
  <c r="M26" i="75"/>
  <c r="N26" i="75"/>
  <c r="M27" i="75"/>
  <c r="N27" i="75"/>
  <c r="M32" i="75"/>
  <c r="N32" i="75"/>
  <c r="N35" i="75"/>
  <c r="M31" i="75"/>
  <c r="N31" i="75"/>
  <c r="B36" i="75"/>
  <c r="J36" i="75" s="1"/>
  <c r="C41" i="68"/>
  <c r="G41" i="68" s="1"/>
  <c r="M36" i="75"/>
  <c r="N36" i="75"/>
  <c r="M23" i="75"/>
  <c r="N23" i="75"/>
  <c r="M33" i="75"/>
  <c r="N33" i="75"/>
  <c r="M25" i="75"/>
  <c r="N25" i="75"/>
  <c r="M37" i="75"/>
  <c r="N37" i="75"/>
  <c r="M38" i="75"/>
  <c r="N38" i="75"/>
  <c r="M22" i="75"/>
  <c r="N22" i="75"/>
  <c r="B28" i="75"/>
  <c r="M28" i="75"/>
  <c r="N28" i="75"/>
  <c r="M17" i="75"/>
  <c r="N17" i="75"/>
  <c r="M34" i="75"/>
  <c r="N34" i="75"/>
  <c r="M20" i="75"/>
  <c r="N20" i="75"/>
  <c r="M42" i="75"/>
  <c r="N42" i="75"/>
  <c r="M47" i="75"/>
  <c r="N47" i="75"/>
  <c r="M48" i="75"/>
  <c r="N48" i="75"/>
  <c r="B37" i="76"/>
  <c r="M40" i="75"/>
  <c r="N40" i="75"/>
  <c r="M44" i="75"/>
  <c r="N44" i="75"/>
  <c r="M45" i="75"/>
  <c r="N45" i="75"/>
  <c r="B11" i="23"/>
  <c r="C11" i="23"/>
  <c r="I47" i="67" s="1"/>
  <c r="D11" i="23"/>
  <c r="M47" i="67" s="1"/>
  <c r="N47" i="67" s="1"/>
  <c r="O47" i="67" s="1"/>
  <c r="P47" i="67" s="1"/>
  <c r="Q47" i="67" s="1"/>
  <c r="R47" i="67" s="1"/>
  <c r="E11" i="23"/>
  <c r="B10" i="25"/>
  <c r="C10" i="25"/>
  <c r="E10" i="25"/>
  <c r="F10" i="25"/>
  <c r="G10" i="25"/>
  <c r="B18" i="76"/>
  <c r="B22" i="75"/>
  <c r="J22" i="75" s="1"/>
  <c r="B23" i="76"/>
  <c r="B19" i="76"/>
  <c r="C35" i="68"/>
  <c r="G35" i="68" s="1"/>
  <c r="N46" i="67"/>
  <c r="O46" i="67" s="1"/>
  <c r="P46" i="67" s="1"/>
  <c r="C21" i="68"/>
  <c r="G21" i="68" s="1"/>
  <c r="B20" i="76"/>
  <c r="B30" i="76"/>
  <c r="B16" i="76"/>
  <c r="C15" i="68"/>
  <c r="G15" i="68" s="1"/>
  <c r="B34" i="76"/>
  <c r="B40" i="76"/>
  <c r="B38" i="76"/>
  <c r="J27" i="84" l="1"/>
  <c r="E27" i="84" s="1"/>
  <c r="J48" i="84"/>
  <c r="W73" i="84" s="1"/>
  <c r="J20" i="84"/>
  <c r="W21" i="84" s="1"/>
  <c r="J16" i="84"/>
  <c r="E16" i="84" s="1"/>
  <c r="J34" i="84"/>
  <c r="E34" i="84" s="1"/>
  <c r="R38" i="67"/>
  <c r="J18" i="84"/>
  <c r="E18" i="84" s="1"/>
  <c r="T33" i="67"/>
  <c r="B31" i="84"/>
  <c r="T24" i="67"/>
  <c r="B22" i="84"/>
  <c r="T25" i="67"/>
  <c r="B23" i="84"/>
  <c r="J26" i="84"/>
  <c r="W31" i="84" s="1"/>
  <c r="T39" i="67"/>
  <c r="U39" i="67" s="1"/>
  <c r="V39" i="67" s="1"/>
  <c r="W39" i="67" s="1"/>
  <c r="B37" i="84"/>
  <c r="T32" i="67"/>
  <c r="B30" i="84"/>
  <c r="G40" i="67"/>
  <c r="F40" i="67" s="1"/>
  <c r="E40" i="67" s="1"/>
  <c r="D40" i="67" s="1"/>
  <c r="C40" i="67" s="1"/>
  <c r="B40" i="67" s="1"/>
  <c r="B59" i="83" s="1"/>
  <c r="C59" i="83" s="1"/>
  <c r="D59" i="83" s="1"/>
  <c r="E59" i="83" s="1"/>
  <c r="F59" i="83" s="1"/>
  <c r="G59" i="83" s="1"/>
  <c r="H59" i="83" s="1"/>
  <c r="J47" i="84"/>
  <c r="E47" i="84" s="1"/>
  <c r="D47" i="84" s="1"/>
  <c r="X71" i="84" s="1"/>
  <c r="T38" i="67"/>
  <c r="B36" i="84"/>
  <c r="J36" i="84" s="1"/>
  <c r="T27" i="67"/>
  <c r="B25" i="84"/>
  <c r="T34" i="67"/>
  <c r="B32" i="84"/>
  <c r="B40" i="84"/>
  <c r="J40" i="84" s="1"/>
  <c r="T35" i="67"/>
  <c r="B33" i="84"/>
  <c r="M41" i="75"/>
  <c r="B41" i="84"/>
  <c r="J41" i="84" s="1"/>
  <c r="B33" i="75"/>
  <c r="J33" i="75" s="1"/>
  <c r="E33" i="75" s="1"/>
  <c r="F48" i="84"/>
  <c r="Z73" i="84" s="1"/>
  <c r="F28" i="84"/>
  <c r="Z35" i="84" s="1"/>
  <c r="W35" i="84"/>
  <c r="E28" i="84"/>
  <c r="W49" i="84"/>
  <c r="F35" i="84"/>
  <c r="Z49" i="84" s="1"/>
  <c r="E35" i="84"/>
  <c r="E20" i="84"/>
  <c r="N50" i="67"/>
  <c r="O50" i="67" s="1"/>
  <c r="F17" i="84"/>
  <c r="Z15" i="84" s="1"/>
  <c r="E17" i="84"/>
  <c r="W15" i="84"/>
  <c r="F27" i="84"/>
  <c r="Z33" i="84" s="1"/>
  <c r="S47" i="67"/>
  <c r="B46" i="84" s="1"/>
  <c r="J46" i="84" s="1"/>
  <c r="B27" i="75"/>
  <c r="J27" i="75" s="1"/>
  <c r="B46" i="75"/>
  <c r="D47" i="67"/>
  <c r="E47" i="67" s="1"/>
  <c r="F47" i="67" s="1"/>
  <c r="G47" i="67" s="1"/>
  <c r="H47" i="67" s="1"/>
  <c r="S50" i="67"/>
  <c r="W47" i="84"/>
  <c r="W19" i="84"/>
  <c r="F19" i="84"/>
  <c r="Z19" i="84" s="1"/>
  <c r="E19" i="84"/>
  <c r="Q46" i="67"/>
  <c r="R46" i="67" s="1"/>
  <c r="S40" i="67"/>
  <c r="B38" i="84" s="1"/>
  <c r="J38" i="84" s="1"/>
  <c r="N49" i="75"/>
  <c r="T31" i="67"/>
  <c r="U31" i="67" s="1"/>
  <c r="V31" i="67" s="1"/>
  <c r="W31" i="67" s="1"/>
  <c r="O31" i="67"/>
  <c r="P31" i="67" s="1"/>
  <c r="H24" i="67"/>
  <c r="I24" i="67" s="1"/>
  <c r="J24" i="67" s="1"/>
  <c r="K24" i="67" s="1"/>
  <c r="L24" i="67" s="1"/>
  <c r="M24" i="67" s="1"/>
  <c r="N24" i="67" s="1"/>
  <c r="O24" i="67" s="1"/>
  <c r="P24" i="67" s="1"/>
  <c r="Q50" i="67"/>
  <c r="I40" i="67"/>
  <c r="J40" i="67" s="1"/>
  <c r="F32" i="67"/>
  <c r="E32" i="67" s="1"/>
  <c r="D32" i="67" s="1"/>
  <c r="C32" i="67" s="1"/>
  <c r="B32" i="67" s="1"/>
  <c r="B51" i="83" s="1"/>
  <c r="C51" i="83" s="1"/>
  <c r="D51" i="83" s="1"/>
  <c r="E51" i="83" s="1"/>
  <c r="F51" i="83" s="1"/>
  <c r="G51" i="83" s="1"/>
  <c r="R43" i="67"/>
  <c r="M49" i="75"/>
  <c r="B46" i="76"/>
  <c r="R35" i="67"/>
  <c r="J33" i="84" s="1"/>
  <c r="I42" i="83"/>
  <c r="J42" i="83" s="1"/>
  <c r="K42" i="83" s="1"/>
  <c r="L42" i="83" s="1"/>
  <c r="M42" i="83" s="1"/>
  <c r="N42" i="83" s="1"/>
  <c r="O42" i="83" s="1"/>
  <c r="P42" i="83" s="1"/>
  <c r="Q42" i="83" s="1"/>
  <c r="R42" i="83" s="1"/>
  <c r="S42" i="83" s="1"/>
  <c r="T42" i="83" s="1"/>
  <c r="U42" i="83" s="1"/>
  <c r="V42" i="83" s="1"/>
  <c r="W42" i="83" s="1"/>
  <c r="L40" i="67"/>
  <c r="M40" i="67" s="1"/>
  <c r="F50" i="67"/>
  <c r="E50" i="67" s="1"/>
  <c r="D50" i="67" s="1"/>
  <c r="C50" i="67" s="1"/>
  <c r="B50" i="67" s="1"/>
  <c r="B69" i="83" s="1"/>
  <c r="C69" i="83" s="1"/>
  <c r="D69" i="83" s="1"/>
  <c r="E69" i="83" s="1"/>
  <c r="F69" i="83" s="1"/>
  <c r="G69" i="83" s="1"/>
  <c r="N29" i="75"/>
  <c r="B20" i="75"/>
  <c r="J20" i="75" s="1"/>
  <c r="E20" i="75" s="1"/>
  <c r="B66" i="83"/>
  <c r="J49" i="75"/>
  <c r="F49" i="75" s="1"/>
  <c r="E68" i="83"/>
  <c r="F68" i="83" s="1"/>
  <c r="G68" i="83" s="1"/>
  <c r="H68" i="83" s="1"/>
  <c r="I68" i="83" s="1"/>
  <c r="J68" i="83" s="1"/>
  <c r="K68" i="83" s="1"/>
  <c r="L68" i="83" s="1"/>
  <c r="M68" i="83" s="1"/>
  <c r="N68" i="83" s="1"/>
  <c r="O68" i="83" s="1"/>
  <c r="P68" i="83" s="1"/>
  <c r="Q68" i="83" s="1"/>
  <c r="R68" i="83" s="1"/>
  <c r="S68" i="83" s="1"/>
  <c r="T68" i="83" s="1"/>
  <c r="R33" i="67"/>
  <c r="J31" i="84" s="1"/>
  <c r="C31" i="67"/>
  <c r="C50" i="83" s="1"/>
  <c r="B45" i="76"/>
  <c r="H31" i="67"/>
  <c r="I31" i="67" s="1"/>
  <c r="J31" i="67" s="1"/>
  <c r="K31" i="67" s="1"/>
  <c r="L31" i="67" s="1"/>
  <c r="M31" i="67" s="1"/>
  <c r="H39" i="83"/>
  <c r="I39" i="83" s="1"/>
  <c r="J39" i="83" s="1"/>
  <c r="K39" i="83" s="1"/>
  <c r="L39" i="83" s="1"/>
  <c r="M39" i="83" s="1"/>
  <c r="N39" i="83" s="1"/>
  <c r="O39" i="83" s="1"/>
  <c r="P39" i="83" s="1"/>
  <c r="Q39" i="83" s="1"/>
  <c r="R39" i="83" s="1"/>
  <c r="S39" i="83" s="1"/>
  <c r="T39" i="83" s="1"/>
  <c r="U39" i="83" s="1"/>
  <c r="V39" i="83" s="1"/>
  <c r="W39" i="83" s="1"/>
  <c r="R25" i="67"/>
  <c r="B23" i="75"/>
  <c r="J23" i="75" s="1"/>
  <c r="L46" i="67"/>
  <c r="H39" i="67"/>
  <c r="I39" i="67" s="1"/>
  <c r="J39" i="67" s="1"/>
  <c r="K39" i="67" s="1"/>
  <c r="L39" i="67" s="1"/>
  <c r="M39" i="67" s="1"/>
  <c r="H33" i="67"/>
  <c r="I33" i="67" s="1"/>
  <c r="J33" i="67" s="1"/>
  <c r="K33" i="67" s="1"/>
  <c r="L33" i="67" s="1"/>
  <c r="M33" i="67" s="1"/>
  <c r="N33" i="67" s="1"/>
  <c r="O33" i="67" s="1"/>
  <c r="P33" i="67" s="1"/>
  <c r="J47" i="67"/>
  <c r="K47" i="67" s="1"/>
  <c r="L47" i="67" s="1"/>
  <c r="I48" i="83"/>
  <c r="J48" i="83" s="1"/>
  <c r="K48" i="83" s="1"/>
  <c r="L48" i="83" s="1"/>
  <c r="M48" i="83" s="1"/>
  <c r="N48" i="83" s="1"/>
  <c r="O48" i="83" s="1"/>
  <c r="P48" i="83" s="1"/>
  <c r="Q48" i="83" s="1"/>
  <c r="R48" i="83" s="1"/>
  <c r="S48" i="83" s="1"/>
  <c r="T48" i="83" s="1"/>
  <c r="U48" i="83" s="1"/>
  <c r="V48" i="83" s="1"/>
  <c r="W48" i="83" s="1"/>
  <c r="X48" i="83" s="1"/>
  <c r="C37" i="75"/>
  <c r="C37" i="84" s="1"/>
  <c r="J46" i="67"/>
  <c r="J65" i="83" s="1"/>
  <c r="K65" i="83" s="1"/>
  <c r="H25" i="67"/>
  <c r="I25" i="67" s="1"/>
  <c r="J25" i="67" s="1"/>
  <c r="K25" i="67" s="1"/>
  <c r="L25" i="67" s="1"/>
  <c r="M25" i="67" s="1"/>
  <c r="N25" i="67" s="1"/>
  <c r="O25" i="67" s="1"/>
  <c r="P25" i="67" s="1"/>
  <c r="C45" i="75"/>
  <c r="H38" i="67"/>
  <c r="I38" i="67" s="1"/>
  <c r="J38" i="67" s="1"/>
  <c r="K38" i="67" s="1"/>
  <c r="L38" i="67" s="1"/>
  <c r="M38" i="67" s="1"/>
  <c r="N38" i="67" s="1"/>
  <c r="O38" i="67" s="1"/>
  <c r="P38" i="67" s="1"/>
  <c r="B32" i="75"/>
  <c r="J32" i="75" s="1"/>
  <c r="F32" i="75" s="1"/>
  <c r="R34" i="67"/>
  <c r="O43" i="67"/>
  <c r="P43" i="67" s="1"/>
  <c r="G48" i="67"/>
  <c r="F48" i="67" s="1"/>
  <c r="E48" i="67" s="1"/>
  <c r="D48" i="67" s="1"/>
  <c r="C48" i="67" s="1"/>
  <c r="B48" i="67" s="1"/>
  <c r="B67" i="83" s="1"/>
  <c r="C67" i="83" s="1"/>
  <c r="D67" i="83" s="1"/>
  <c r="E67" i="83" s="1"/>
  <c r="F67" i="83" s="1"/>
  <c r="G67" i="83" s="1"/>
  <c r="H67" i="83" s="1"/>
  <c r="I67" i="83" s="1"/>
  <c r="O40" i="67"/>
  <c r="P40" i="67" s="1"/>
  <c r="H34" i="67"/>
  <c r="I34" i="67" s="1"/>
  <c r="J34" i="67" s="1"/>
  <c r="K34" i="67" s="1"/>
  <c r="L34" i="67" s="1"/>
  <c r="M34" i="67" s="1"/>
  <c r="N34" i="67" s="1"/>
  <c r="O34" i="67" s="1"/>
  <c r="P34" i="67" s="1"/>
  <c r="H32" i="67"/>
  <c r="I32" i="67" s="1"/>
  <c r="J32" i="67" s="1"/>
  <c r="K32" i="67" s="1"/>
  <c r="L32" i="67" s="1"/>
  <c r="M32" i="67" s="1"/>
  <c r="N32" i="67" s="1"/>
  <c r="O32" i="67" s="1"/>
  <c r="P32" i="67" s="1"/>
  <c r="H50" i="67"/>
  <c r="I50" i="67" s="1"/>
  <c r="J50" i="67" s="1"/>
  <c r="K50" i="67" s="1"/>
  <c r="L50" i="67" s="1"/>
  <c r="B45" i="75"/>
  <c r="J28" i="75"/>
  <c r="E28" i="75" s="1"/>
  <c r="C55" i="83"/>
  <c r="D55" i="83" s="1"/>
  <c r="E55" i="83" s="1"/>
  <c r="F55" i="83" s="1"/>
  <c r="G55" i="83" s="1"/>
  <c r="H55" i="83" s="1"/>
  <c r="I55" i="83" s="1"/>
  <c r="J55" i="83" s="1"/>
  <c r="K55" i="83" s="1"/>
  <c r="L55" i="83" s="1"/>
  <c r="M55" i="83" s="1"/>
  <c r="N55" i="83" s="1"/>
  <c r="O55" i="83" s="1"/>
  <c r="P55" i="83" s="1"/>
  <c r="Q55" i="83" s="1"/>
  <c r="R55" i="83" s="1"/>
  <c r="S55" i="83" s="1"/>
  <c r="T55" i="83" s="1"/>
  <c r="U55" i="83" s="1"/>
  <c r="V55" i="83" s="1"/>
  <c r="W55" i="83" s="1"/>
  <c r="H35" i="67"/>
  <c r="I35" i="67" s="1"/>
  <c r="J35" i="67" s="1"/>
  <c r="K35" i="67" s="1"/>
  <c r="L35" i="67" s="1"/>
  <c r="M35" i="67" s="1"/>
  <c r="N35" i="67" s="1"/>
  <c r="O35" i="67" s="1"/>
  <c r="P35" i="67" s="1"/>
  <c r="F56" i="83"/>
  <c r="G56" i="83" s="1"/>
  <c r="H56" i="83" s="1"/>
  <c r="I56" i="83" s="1"/>
  <c r="J56" i="83" s="1"/>
  <c r="K56" i="83" s="1"/>
  <c r="L56" i="83" s="1"/>
  <c r="M56" i="83" s="1"/>
  <c r="N56" i="83" s="1"/>
  <c r="O56" i="83" s="1"/>
  <c r="P56" i="83" s="1"/>
  <c r="Q56" i="83" s="1"/>
  <c r="R56" i="83" s="1"/>
  <c r="S56" i="83" s="1"/>
  <c r="T56" i="83" s="1"/>
  <c r="U56" i="83" s="1"/>
  <c r="V56" i="83" s="1"/>
  <c r="W56" i="83" s="1"/>
  <c r="K47" i="83"/>
  <c r="B39" i="76"/>
  <c r="O39" i="67"/>
  <c r="P39" i="67" s="1"/>
  <c r="C37" i="68"/>
  <c r="G37" i="68" s="1"/>
  <c r="B44" i="76"/>
  <c r="D15" i="69"/>
  <c r="G19" i="68"/>
  <c r="D51" i="69"/>
  <c r="F22" i="75"/>
  <c r="E22" i="75"/>
  <c r="C13" i="68"/>
  <c r="G13" i="68" s="1"/>
  <c r="E17" i="75"/>
  <c r="F17" i="75"/>
  <c r="E40" i="75"/>
  <c r="L42" i="67"/>
  <c r="K42" i="67" s="1"/>
  <c r="J42" i="67" s="1"/>
  <c r="I42" i="67" s="1"/>
  <c r="H42" i="67" s="1"/>
  <c r="G42" i="67" s="1"/>
  <c r="F42" i="67" s="1"/>
  <c r="E42" i="67" s="1"/>
  <c r="D42" i="67" s="1"/>
  <c r="C42" i="67" s="1"/>
  <c r="B42" i="67" s="1"/>
  <c r="B61" i="83" s="1"/>
  <c r="C61" i="83" s="1"/>
  <c r="D61" i="83" s="1"/>
  <c r="E61" i="83" s="1"/>
  <c r="F61" i="83" s="1"/>
  <c r="G61" i="83" s="1"/>
  <c r="H61" i="83" s="1"/>
  <c r="I61" i="83" s="1"/>
  <c r="J61" i="83" s="1"/>
  <c r="K61" i="83" s="1"/>
  <c r="L61" i="83" s="1"/>
  <c r="M61" i="83" s="1"/>
  <c r="N61" i="83" s="1"/>
  <c r="O61" i="83" s="1"/>
  <c r="P61" i="83" s="1"/>
  <c r="Q61" i="83" s="1"/>
  <c r="R61" i="83" s="1"/>
  <c r="S61" i="83" s="1"/>
  <c r="T61" i="83" s="1"/>
  <c r="U61" i="83" s="1"/>
  <c r="V61" i="83" s="1"/>
  <c r="W61" i="83" s="1"/>
  <c r="J41" i="75"/>
  <c r="D59" i="69" s="1"/>
  <c r="N41" i="75"/>
  <c r="C41" i="83"/>
  <c r="B8" i="83"/>
  <c r="F47" i="75"/>
  <c r="E47" i="75"/>
  <c r="Y71" i="84" s="1"/>
  <c r="F40" i="75"/>
  <c r="C25" i="68"/>
  <c r="K25" i="68" s="1"/>
  <c r="J25" i="68" s="1"/>
  <c r="I25" i="68" s="1"/>
  <c r="J24" i="75"/>
  <c r="F24" i="75" s="1"/>
  <c r="B22" i="76"/>
  <c r="N24" i="75"/>
  <c r="C45" i="83"/>
  <c r="D45" i="83" s="1"/>
  <c r="E45" i="83" s="1"/>
  <c r="F45" i="83" s="1"/>
  <c r="G45" i="83" s="1"/>
  <c r="H45" i="83" s="1"/>
  <c r="I45" i="83" s="1"/>
  <c r="J45" i="83" s="1"/>
  <c r="K45" i="83" s="1"/>
  <c r="L45" i="83" s="1"/>
  <c r="M45" i="83" s="1"/>
  <c r="N45" i="83" s="1"/>
  <c r="O45" i="83" s="1"/>
  <c r="P45" i="83" s="1"/>
  <c r="Q45" i="83" s="1"/>
  <c r="R45" i="83" s="1"/>
  <c r="S45" i="83" s="1"/>
  <c r="T45" i="83" s="1"/>
  <c r="U45" i="83" s="1"/>
  <c r="V45" i="83" s="1"/>
  <c r="W45" i="83" s="1"/>
  <c r="B25" i="76"/>
  <c r="C29" i="68"/>
  <c r="K29" i="68" s="1"/>
  <c r="J29" i="68" s="1"/>
  <c r="I29" i="68" s="1"/>
  <c r="K35" i="68"/>
  <c r="J35" i="68" s="1"/>
  <c r="I35" i="68" s="1"/>
  <c r="R32" i="67"/>
  <c r="E36" i="75"/>
  <c r="K41" i="68"/>
  <c r="J41" i="68" s="1"/>
  <c r="I41" i="68" s="1"/>
  <c r="F36" i="75"/>
  <c r="E31" i="75"/>
  <c r="F31" i="75"/>
  <c r="K21" i="68"/>
  <c r="J21" i="68" s="1"/>
  <c r="I21" i="68" s="1"/>
  <c r="F19" i="75"/>
  <c r="B26" i="75"/>
  <c r="J26" i="75" s="1"/>
  <c r="D41" i="69" s="1"/>
  <c r="M35" i="75"/>
  <c r="C39" i="68"/>
  <c r="K39" i="68" s="1"/>
  <c r="J39" i="68" s="1"/>
  <c r="I39" i="68" s="1"/>
  <c r="B33" i="76"/>
  <c r="J35" i="75"/>
  <c r="E19" i="75"/>
  <c r="J30" i="75"/>
  <c r="D39" i="69" s="1"/>
  <c r="B28" i="76"/>
  <c r="B29" i="76"/>
  <c r="F33" i="67"/>
  <c r="E33" i="67" s="1"/>
  <c r="D33" i="67" s="1"/>
  <c r="C33" i="67" s="1"/>
  <c r="B33" i="67" s="1"/>
  <c r="B52" i="83" s="1"/>
  <c r="C52" i="83" s="1"/>
  <c r="D52" i="83" s="1"/>
  <c r="E52" i="83" s="1"/>
  <c r="F52" i="83" s="1"/>
  <c r="G52" i="83" s="1"/>
  <c r="I49" i="83"/>
  <c r="J49" i="83" s="1"/>
  <c r="K49" i="83" s="1"/>
  <c r="L49" i="83" s="1"/>
  <c r="M49" i="83" s="1"/>
  <c r="N49" i="83" s="1"/>
  <c r="O49" i="83" s="1"/>
  <c r="P49" i="83" s="1"/>
  <c r="Q49" i="83" s="1"/>
  <c r="R49" i="83" s="1"/>
  <c r="S49" i="83" s="1"/>
  <c r="T49" i="83" s="1"/>
  <c r="U49" i="83" s="1"/>
  <c r="V49" i="83" s="1"/>
  <c r="W49" i="83" s="1"/>
  <c r="H27" i="67"/>
  <c r="I27" i="67" s="1"/>
  <c r="J27" i="67" s="1"/>
  <c r="K27" i="67" s="1"/>
  <c r="L27" i="67" s="1"/>
  <c r="M27" i="67" s="1"/>
  <c r="N27" i="67" s="1"/>
  <c r="O27" i="67" s="1"/>
  <c r="P27" i="67" s="1"/>
  <c r="B25" i="75"/>
  <c r="J25" i="75" s="1"/>
  <c r="F27" i="67"/>
  <c r="E27" i="67" s="1"/>
  <c r="D27" i="67" s="1"/>
  <c r="C27" i="67" s="1"/>
  <c r="B27" i="67" s="1"/>
  <c r="B46" i="83" s="1"/>
  <c r="C46" i="83" s="1"/>
  <c r="D46" i="83" s="1"/>
  <c r="E46" i="83" s="1"/>
  <c r="F46" i="83" s="1"/>
  <c r="G46" i="83" s="1"/>
  <c r="D60" i="83"/>
  <c r="E60" i="83" s="1"/>
  <c r="F60" i="83" s="1"/>
  <c r="G60" i="83" s="1"/>
  <c r="H60" i="83" s="1"/>
  <c r="I60" i="83" s="1"/>
  <c r="J60" i="83" s="1"/>
  <c r="K60" i="83" s="1"/>
  <c r="L60" i="83" s="1"/>
  <c r="M60" i="83" s="1"/>
  <c r="N60" i="83" s="1"/>
  <c r="O60" i="83" s="1"/>
  <c r="P60" i="83" s="1"/>
  <c r="Q60" i="83" s="1"/>
  <c r="J43" i="67"/>
  <c r="K43" i="67" s="1"/>
  <c r="L43" i="67" s="1"/>
  <c r="M43" i="67" s="1"/>
  <c r="B42" i="75"/>
  <c r="F43" i="67"/>
  <c r="G43" i="67" s="1"/>
  <c r="H43" i="67" s="1"/>
  <c r="R27" i="67"/>
  <c r="U47" i="67"/>
  <c r="V47" i="67" s="1"/>
  <c r="W47" i="67" s="1"/>
  <c r="B21" i="76"/>
  <c r="J48" i="67"/>
  <c r="K48" i="67" s="1"/>
  <c r="L48" i="67" s="1"/>
  <c r="R24" i="67"/>
  <c r="C39" i="67"/>
  <c r="B63" i="83"/>
  <c r="C63" i="83" s="1"/>
  <c r="L43" i="75"/>
  <c r="C38" i="83"/>
  <c r="D38" i="83" s="1"/>
  <c r="E38" i="83" s="1"/>
  <c r="F38" i="83" s="1"/>
  <c r="G38" i="83" s="1"/>
  <c r="H38" i="83" s="1"/>
  <c r="I38" i="83" s="1"/>
  <c r="J38" i="83" s="1"/>
  <c r="K38" i="83" s="1"/>
  <c r="L38" i="83" s="1"/>
  <c r="M38" i="83" s="1"/>
  <c r="N38" i="83" s="1"/>
  <c r="O38" i="83" s="1"/>
  <c r="P38" i="83" s="1"/>
  <c r="Q38" i="83" s="1"/>
  <c r="R38" i="83" s="1"/>
  <c r="S38" i="83" s="1"/>
  <c r="T38" i="83" s="1"/>
  <c r="U38" i="83" s="1"/>
  <c r="V38" i="83" s="1"/>
  <c r="W38" i="83" s="1"/>
  <c r="C40" i="83"/>
  <c r="M18" i="75"/>
  <c r="J18" i="75"/>
  <c r="N18" i="75"/>
  <c r="C17" i="68"/>
  <c r="G17" i="68" s="1"/>
  <c r="B32" i="76"/>
  <c r="J34" i="75"/>
  <c r="K15" i="68"/>
  <c r="J15" i="68" s="1"/>
  <c r="I15" i="68" s="1"/>
  <c r="M16" i="75"/>
  <c r="N16" i="75"/>
  <c r="J16" i="75"/>
  <c r="B15" i="76"/>
  <c r="I45" i="67"/>
  <c r="H45" i="67" s="1"/>
  <c r="G45" i="67" s="1"/>
  <c r="B36" i="76"/>
  <c r="J38" i="75"/>
  <c r="C45" i="68"/>
  <c r="E48" i="84" l="1"/>
  <c r="D48" i="84" s="1"/>
  <c r="X73" i="84" s="1"/>
  <c r="W17" i="84"/>
  <c r="W33" i="84"/>
  <c r="W13" i="84"/>
  <c r="F20" i="84"/>
  <c r="Z21" i="84" s="1"/>
  <c r="F16" i="84"/>
  <c r="Z13" i="84" s="1"/>
  <c r="F18" i="84"/>
  <c r="Z17" i="84" s="1"/>
  <c r="F34" i="84"/>
  <c r="Z47" i="84" s="1"/>
  <c r="J30" i="84"/>
  <c r="F30" i="84" s="1"/>
  <c r="Z39" i="84" s="1"/>
  <c r="J22" i="84"/>
  <c r="F33" i="75"/>
  <c r="W51" i="84"/>
  <c r="F36" i="84"/>
  <c r="Z51" i="84" s="1"/>
  <c r="E36" i="84"/>
  <c r="D36" i="84" s="1"/>
  <c r="X51" i="84" s="1"/>
  <c r="D45" i="69"/>
  <c r="J25" i="84"/>
  <c r="F25" i="84" s="1"/>
  <c r="Z29" i="84" s="1"/>
  <c r="E40" i="84"/>
  <c r="W57" i="84"/>
  <c r="F40" i="84"/>
  <c r="Z57" i="84" s="1"/>
  <c r="E41" i="84"/>
  <c r="D41" i="84" s="1"/>
  <c r="X59" i="84" s="1"/>
  <c r="W59" i="84"/>
  <c r="F41" i="84"/>
  <c r="Z59" i="84" s="1"/>
  <c r="D19" i="84"/>
  <c r="X19" i="84" s="1"/>
  <c r="Y19" i="84"/>
  <c r="D20" i="84"/>
  <c r="X21" i="84" s="1"/>
  <c r="Y21" i="84"/>
  <c r="J23" i="84"/>
  <c r="E23" i="84" s="1"/>
  <c r="T50" i="67"/>
  <c r="B49" i="84"/>
  <c r="J49" i="84" s="1"/>
  <c r="F49" i="84" s="1"/>
  <c r="Z75" i="84" s="1"/>
  <c r="E26" i="84"/>
  <c r="F47" i="84"/>
  <c r="Z71" i="84" s="1"/>
  <c r="D35" i="84"/>
  <c r="X49" i="84" s="1"/>
  <c r="Y49" i="84"/>
  <c r="F26" i="84"/>
  <c r="Z31" i="84" s="1"/>
  <c r="W71" i="84"/>
  <c r="D28" i="84"/>
  <c r="X35" i="84" s="1"/>
  <c r="Y35" i="84"/>
  <c r="D34" i="84"/>
  <c r="X47" i="84" s="1"/>
  <c r="Y47" i="84"/>
  <c r="D17" i="84"/>
  <c r="X15" i="84" s="1"/>
  <c r="Y15" i="84"/>
  <c r="D27" i="84"/>
  <c r="X33" i="84" s="1"/>
  <c r="Y33" i="84"/>
  <c r="J32" i="84"/>
  <c r="W43" i="84" s="1"/>
  <c r="D16" i="84"/>
  <c r="X13" i="84" s="1"/>
  <c r="Y13" i="84"/>
  <c r="D18" i="84"/>
  <c r="X17" i="84" s="1"/>
  <c r="Y17" i="84"/>
  <c r="D22" i="75"/>
  <c r="E38" i="84"/>
  <c r="W55" i="84"/>
  <c r="F38" i="84"/>
  <c r="Z55" i="84" s="1"/>
  <c r="D31" i="75"/>
  <c r="F31" i="84"/>
  <c r="Z41" i="84" s="1"/>
  <c r="W41" i="84"/>
  <c r="E31" i="84"/>
  <c r="W69" i="84"/>
  <c r="E46" i="84"/>
  <c r="D46" i="84" s="1"/>
  <c r="X69" i="84" s="1"/>
  <c r="F46" i="84"/>
  <c r="Z69" i="84" s="1"/>
  <c r="W23" i="84"/>
  <c r="E22" i="84"/>
  <c r="F22" i="84"/>
  <c r="Z23" i="84" s="1"/>
  <c r="B42" i="76"/>
  <c r="C45" i="84"/>
  <c r="E33" i="84"/>
  <c r="F33" i="84"/>
  <c r="Z45" i="84" s="1"/>
  <c r="W45" i="84"/>
  <c r="E25" i="84"/>
  <c r="E30" i="84"/>
  <c r="W39" i="84"/>
  <c r="G75" i="69"/>
  <c r="D40" i="75"/>
  <c r="F23" i="84"/>
  <c r="Z25" i="84" s="1"/>
  <c r="D28" i="75"/>
  <c r="W75" i="84"/>
  <c r="F19" i="69"/>
  <c r="G19" i="69"/>
  <c r="C66" i="83"/>
  <c r="D66" i="83" s="1"/>
  <c r="H43" i="83"/>
  <c r="I43" i="83" s="1"/>
  <c r="J43" i="83" s="1"/>
  <c r="K43" i="83" s="1"/>
  <c r="L43" i="83" s="1"/>
  <c r="M43" i="83" s="1"/>
  <c r="N43" i="83" s="1"/>
  <c r="O43" i="83" s="1"/>
  <c r="P43" i="83" s="1"/>
  <c r="Q43" i="83" s="1"/>
  <c r="R43" i="83" s="1"/>
  <c r="S43" i="83" s="1"/>
  <c r="T43" i="83" s="1"/>
  <c r="U43" i="83" s="1"/>
  <c r="V43" i="83" s="1"/>
  <c r="W43" i="83" s="1"/>
  <c r="Q31" i="67"/>
  <c r="R31" i="67" s="1"/>
  <c r="J29" i="84" s="1"/>
  <c r="S43" i="67"/>
  <c r="B42" i="84" s="1"/>
  <c r="J42" i="84" s="1"/>
  <c r="Q39" i="67"/>
  <c r="R39" i="67" s="1"/>
  <c r="J37" i="84" s="1"/>
  <c r="S46" i="67"/>
  <c r="D40" i="83"/>
  <c r="L47" i="83"/>
  <c r="D75" i="69"/>
  <c r="I59" i="83"/>
  <c r="J59" i="83" s="1"/>
  <c r="K59" i="83" s="1"/>
  <c r="L59" i="83" s="1"/>
  <c r="M59" i="83" s="1"/>
  <c r="N59" i="83" s="1"/>
  <c r="O59" i="83" s="1"/>
  <c r="P59" i="83" s="1"/>
  <c r="Q59" i="83" s="1"/>
  <c r="R59" i="83" s="1"/>
  <c r="S59" i="83" s="1"/>
  <c r="T59" i="83" s="1"/>
  <c r="U59" i="83" s="1"/>
  <c r="V59" i="83" s="1"/>
  <c r="W59" i="83" s="1"/>
  <c r="M29" i="75"/>
  <c r="J29" i="75"/>
  <c r="D71" i="69" s="1"/>
  <c r="C33" i="68"/>
  <c r="D31" i="67"/>
  <c r="E31" i="67" s="1"/>
  <c r="F31" i="67" s="1"/>
  <c r="B27" i="76"/>
  <c r="E32" i="75"/>
  <c r="D21" i="69"/>
  <c r="L65" i="83"/>
  <c r="M65" i="83" s="1"/>
  <c r="N65" i="83" s="1"/>
  <c r="O65" i="83" s="1"/>
  <c r="P65" i="83" s="1"/>
  <c r="Q65" i="83" s="1"/>
  <c r="R65" i="83" s="1"/>
  <c r="S65" i="83" s="1"/>
  <c r="H44" i="83"/>
  <c r="I44" i="83" s="1"/>
  <c r="J44" i="83" s="1"/>
  <c r="K44" i="83" s="1"/>
  <c r="L44" i="83" s="1"/>
  <c r="M44" i="83" s="1"/>
  <c r="N44" i="83" s="1"/>
  <c r="O44" i="83" s="1"/>
  <c r="P44" i="83" s="1"/>
  <c r="Q44" i="83" s="1"/>
  <c r="R44" i="83" s="1"/>
  <c r="S44" i="83" s="1"/>
  <c r="T44" i="83" s="1"/>
  <c r="U44" i="83" s="1"/>
  <c r="V44" i="83" s="1"/>
  <c r="W44" i="83" s="1"/>
  <c r="D43" i="69"/>
  <c r="F20" i="75"/>
  <c r="J42" i="75"/>
  <c r="D61" i="69" s="1"/>
  <c r="H53" i="83"/>
  <c r="I53" i="83" s="1"/>
  <c r="J53" i="83" s="1"/>
  <c r="K53" i="83" s="1"/>
  <c r="L53" i="83" s="1"/>
  <c r="M53" i="83" s="1"/>
  <c r="N53" i="83" s="1"/>
  <c r="O53" i="83" s="1"/>
  <c r="P53" i="83" s="1"/>
  <c r="Q53" i="83" s="1"/>
  <c r="R53" i="83" s="1"/>
  <c r="S53" i="83" s="1"/>
  <c r="T53" i="83" s="1"/>
  <c r="U53" i="83" s="1"/>
  <c r="V53" i="83" s="1"/>
  <c r="W53" i="83" s="1"/>
  <c r="E49" i="75"/>
  <c r="J45" i="75"/>
  <c r="E45" i="75" s="1"/>
  <c r="H51" i="83"/>
  <c r="I51" i="83" s="1"/>
  <c r="J51" i="83" s="1"/>
  <c r="K51" i="83" s="1"/>
  <c r="L51" i="83" s="1"/>
  <c r="M51" i="83" s="1"/>
  <c r="N51" i="83" s="1"/>
  <c r="O51" i="83" s="1"/>
  <c r="P51" i="83" s="1"/>
  <c r="Q51" i="83" s="1"/>
  <c r="R51" i="83" s="1"/>
  <c r="S51" i="83" s="1"/>
  <c r="T51" i="83" s="1"/>
  <c r="U51" i="83" s="1"/>
  <c r="V51" i="83" s="1"/>
  <c r="W51" i="83" s="1"/>
  <c r="C47" i="68"/>
  <c r="G47" i="68" s="1"/>
  <c r="H46" i="83"/>
  <c r="I46" i="83" s="1"/>
  <c r="J46" i="83" s="1"/>
  <c r="K46" i="83" s="1"/>
  <c r="L46" i="83" s="1"/>
  <c r="M46" i="83" s="1"/>
  <c r="N46" i="83" s="1"/>
  <c r="O46" i="83" s="1"/>
  <c r="P46" i="83" s="1"/>
  <c r="Q46" i="83" s="1"/>
  <c r="R46" i="83" s="1"/>
  <c r="S46" i="83" s="1"/>
  <c r="T46" i="83" s="1"/>
  <c r="U46" i="83" s="1"/>
  <c r="V46" i="83" s="1"/>
  <c r="W46" i="83" s="1"/>
  <c r="J48" i="75"/>
  <c r="D35" i="69"/>
  <c r="J37" i="75"/>
  <c r="B35" i="76"/>
  <c r="C43" i="68"/>
  <c r="F28" i="75"/>
  <c r="H57" i="83"/>
  <c r="I57" i="83" s="1"/>
  <c r="J57" i="83" s="1"/>
  <c r="K57" i="83" s="1"/>
  <c r="L57" i="83" s="1"/>
  <c r="M57" i="83" s="1"/>
  <c r="N57" i="83" s="1"/>
  <c r="O57" i="83" s="1"/>
  <c r="P57" i="83" s="1"/>
  <c r="Q57" i="83" s="1"/>
  <c r="R57" i="83" s="1"/>
  <c r="S57" i="83" s="1"/>
  <c r="T57" i="83" s="1"/>
  <c r="U57" i="83" s="1"/>
  <c r="V57" i="83" s="1"/>
  <c r="W57" i="83" s="1"/>
  <c r="H52" i="83"/>
  <c r="I52" i="83" s="1"/>
  <c r="J52" i="83" s="1"/>
  <c r="K52" i="83" s="1"/>
  <c r="L52" i="83" s="1"/>
  <c r="M52" i="83" s="1"/>
  <c r="N52" i="83" s="1"/>
  <c r="O52" i="83" s="1"/>
  <c r="P52" i="83" s="1"/>
  <c r="Q52" i="83" s="1"/>
  <c r="R52" i="83" s="1"/>
  <c r="S52" i="83" s="1"/>
  <c r="T52" i="83" s="1"/>
  <c r="U52" i="83" s="1"/>
  <c r="V52" i="83" s="1"/>
  <c r="W52" i="83" s="1"/>
  <c r="G29" i="68"/>
  <c r="R60" i="83"/>
  <c r="S60" i="83"/>
  <c r="T60" i="83" s="1"/>
  <c r="U60" i="83" s="1"/>
  <c r="V60" i="83" s="1"/>
  <c r="W60" i="83" s="1"/>
  <c r="H69" i="83"/>
  <c r="I69" i="83" s="1"/>
  <c r="J69" i="83" s="1"/>
  <c r="K69" i="83" s="1"/>
  <c r="L69" i="83" s="1"/>
  <c r="M69" i="83" s="1"/>
  <c r="N69" i="83" s="1"/>
  <c r="O69" i="83" s="1"/>
  <c r="P69" i="83" s="1"/>
  <c r="Q69" i="83" s="1"/>
  <c r="R69" i="83" s="1"/>
  <c r="S69" i="83" s="1"/>
  <c r="U68" i="83"/>
  <c r="V68" i="83" s="1"/>
  <c r="W68" i="83" s="1"/>
  <c r="B31" i="76"/>
  <c r="C31" i="68"/>
  <c r="B26" i="76"/>
  <c r="H54" i="83"/>
  <c r="I54" i="83" s="1"/>
  <c r="J54" i="83" s="1"/>
  <c r="K54" i="83" s="1"/>
  <c r="L54" i="83" s="1"/>
  <c r="M54" i="83" s="1"/>
  <c r="N54" i="83" s="1"/>
  <c r="O54" i="83" s="1"/>
  <c r="P54" i="83" s="1"/>
  <c r="Q54" i="83" s="1"/>
  <c r="R54" i="83" s="1"/>
  <c r="S54" i="83" s="1"/>
  <c r="T54" i="83" s="1"/>
  <c r="U54" i="83" s="1"/>
  <c r="V54" i="83" s="1"/>
  <c r="W54" i="83" s="1"/>
  <c r="K37" i="68"/>
  <c r="J37" i="68" s="1"/>
  <c r="I37" i="68" s="1"/>
  <c r="B24" i="76"/>
  <c r="G39" i="68"/>
  <c r="G25" i="68"/>
  <c r="G51" i="69"/>
  <c r="G15" i="69"/>
  <c r="D23" i="69"/>
  <c r="G45" i="69"/>
  <c r="J43" i="75"/>
  <c r="E43" i="75" s="1"/>
  <c r="C27" i="68"/>
  <c r="G27" i="68" s="1"/>
  <c r="K13" i="68"/>
  <c r="J13" i="68" s="1"/>
  <c r="I13" i="68" s="1"/>
  <c r="F35" i="69"/>
  <c r="C23" i="68"/>
  <c r="D47" i="75"/>
  <c r="D27" i="69"/>
  <c r="F15" i="69"/>
  <c r="D17" i="75"/>
  <c r="D20" i="75"/>
  <c r="E41" i="75"/>
  <c r="Y59" i="84" s="1"/>
  <c r="F41" i="75"/>
  <c r="D41" i="83"/>
  <c r="C8" i="83"/>
  <c r="E24" i="75"/>
  <c r="F51" i="69"/>
  <c r="D36" i="75"/>
  <c r="F26" i="75"/>
  <c r="E26" i="75"/>
  <c r="F25" i="75"/>
  <c r="E25" i="75"/>
  <c r="D29" i="69"/>
  <c r="E23" i="75"/>
  <c r="F23" i="75"/>
  <c r="F45" i="69"/>
  <c r="D33" i="75"/>
  <c r="D19" i="75"/>
  <c r="E35" i="75"/>
  <c r="F35" i="75"/>
  <c r="D49" i="69"/>
  <c r="J46" i="75"/>
  <c r="D25" i="69" s="1"/>
  <c r="N46" i="75"/>
  <c r="M46" i="75"/>
  <c r="F62" i="83"/>
  <c r="G62" i="83" s="1"/>
  <c r="H62" i="83" s="1"/>
  <c r="I62" i="83" s="1"/>
  <c r="J62" i="83" s="1"/>
  <c r="K62" i="83" s="1"/>
  <c r="L62" i="83" s="1"/>
  <c r="M62" i="83" s="1"/>
  <c r="N62" i="83" s="1"/>
  <c r="O62" i="83" s="1"/>
  <c r="P62" i="83" s="1"/>
  <c r="Q62" i="83" s="1"/>
  <c r="R62" i="83" s="1"/>
  <c r="E27" i="75"/>
  <c r="F27" i="75"/>
  <c r="D33" i="69"/>
  <c r="D39" i="67"/>
  <c r="E39" i="67" s="1"/>
  <c r="F39" i="67" s="1"/>
  <c r="C58" i="83"/>
  <c r="E30" i="75"/>
  <c r="F30" i="75"/>
  <c r="J67" i="83"/>
  <c r="K67" i="83" s="1"/>
  <c r="L67" i="83" s="1"/>
  <c r="M67" i="83" s="1"/>
  <c r="N67" i="83" s="1"/>
  <c r="O67" i="83" s="1"/>
  <c r="P67" i="83" s="1"/>
  <c r="Q67" i="83" s="1"/>
  <c r="R67" i="83" s="1"/>
  <c r="S67" i="83" s="1"/>
  <c r="T67" i="83" s="1"/>
  <c r="U67" i="83" s="1"/>
  <c r="V67" i="83" s="1"/>
  <c r="W67" i="83" s="1"/>
  <c r="K17" i="68"/>
  <c r="J17" i="68" s="1"/>
  <c r="I17" i="68" s="1"/>
  <c r="D17" i="69"/>
  <c r="F18" i="75"/>
  <c r="E18" i="75"/>
  <c r="E34" i="75"/>
  <c r="F34" i="75"/>
  <c r="D47" i="69"/>
  <c r="F16" i="75"/>
  <c r="E16" i="75"/>
  <c r="D13" i="69"/>
  <c r="B44" i="75"/>
  <c r="J44" i="75" s="1"/>
  <c r="F45" i="67"/>
  <c r="E45" i="67" s="1"/>
  <c r="D45" i="67" s="1"/>
  <c r="C45" i="67" s="1"/>
  <c r="B45" i="67" s="1"/>
  <c r="B64" i="83" s="1"/>
  <c r="B9" i="83" s="1"/>
  <c r="B41" i="76"/>
  <c r="D63" i="83"/>
  <c r="G45" i="68"/>
  <c r="K45" i="68"/>
  <c r="J45" i="68" s="1"/>
  <c r="I45" i="68" s="1"/>
  <c r="F38" i="75"/>
  <c r="E38" i="75"/>
  <c r="D55" i="69"/>
  <c r="W25" i="84" l="1"/>
  <c r="T69" i="83"/>
  <c r="U69" i="83" s="1"/>
  <c r="V69" i="83" s="1"/>
  <c r="W69" i="83" s="1"/>
  <c r="E49" i="84"/>
  <c r="D49" i="84" s="1"/>
  <c r="X75" i="84" s="1"/>
  <c r="W29" i="84"/>
  <c r="Y51" i="84"/>
  <c r="D50" i="83"/>
  <c r="E50" i="83" s="1"/>
  <c r="F50" i="83" s="1"/>
  <c r="G50" i="83" s="1"/>
  <c r="H50" i="83" s="1"/>
  <c r="I50" i="83" s="1"/>
  <c r="J50" i="83" s="1"/>
  <c r="K50" i="83" s="1"/>
  <c r="L50" i="83" s="1"/>
  <c r="M50" i="83" s="1"/>
  <c r="N50" i="83" s="1"/>
  <c r="O50" i="83" s="1"/>
  <c r="P50" i="83" s="1"/>
  <c r="F42" i="84"/>
  <c r="Z61" i="84" s="1"/>
  <c r="W61" i="84"/>
  <c r="E42" i="84"/>
  <c r="D42" i="84" s="1"/>
  <c r="X61" i="84" s="1"/>
  <c r="D26" i="84"/>
  <c r="X31" i="84" s="1"/>
  <c r="Y31" i="84"/>
  <c r="D30" i="84"/>
  <c r="X39" i="84" s="1"/>
  <c r="Y39" i="84"/>
  <c r="F45" i="75"/>
  <c r="T46" i="67"/>
  <c r="U46" i="67" s="1"/>
  <c r="V46" i="67" s="1"/>
  <c r="W46" i="67" s="1"/>
  <c r="B45" i="84"/>
  <c r="J45" i="84" s="1"/>
  <c r="D23" i="84"/>
  <c r="X25" i="84" s="1"/>
  <c r="Y25" i="84"/>
  <c r="D22" i="84"/>
  <c r="X23" i="84" s="1"/>
  <c r="Y23" i="84"/>
  <c r="F32" i="84"/>
  <c r="Z43" i="84" s="1"/>
  <c r="D31" i="84"/>
  <c r="X41" i="84" s="1"/>
  <c r="Y41" i="84"/>
  <c r="D25" i="84"/>
  <c r="X29" i="84" s="1"/>
  <c r="Y29" i="84"/>
  <c r="E32" i="84"/>
  <c r="D40" i="84"/>
  <c r="X57" i="84" s="1"/>
  <c r="Y57" i="84"/>
  <c r="D33" i="84"/>
  <c r="X45" i="84" s="1"/>
  <c r="Y45" i="84"/>
  <c r="D38" i="84"/>
  <c r="X55" i="84" s="1"/>
  <c r="Y55" i="84"/>
  <c r="W53" i="84"/>
  <c r="E37" i="84"/>
  <c r="F37" i="84"/>
  <c r="Z53" i="84" s="1"/>
  <c r="S62" i="83"/>
  <c r="T62" i="83" s="1"/>
  <c r="U62" i="83" s="1"/>
  <c r="V62" i="83" s="1"/>
  <c r="W62" i="83" s="1"/>
  <c r="F41" i="69"/>
  <c r="W37" i="84"/>
  <c r="E29" i="84"/>
  <c r="F29" i="84"/>
  <c r="Z37" i="84" s="1"/>
  <c r="G23" i="69"/>
  <c r="G41" i="69"/>
  <c r="D45" i="75"/>
  <c r="Y67" i="84"/>
  <c r="G39" i="69"/>
  <c r="F39" i="69"/>
  <c r="F75" i="69"/>
  <c r="Y75" i="84"/>
  <c r="D32" i="75"/>
  <c r="D25" i="82"/>
  <c r="G59" i="69"/>
  <c r="G35" i="69"/>
  <c r="G47" i="69"/>
  <c r="E19" i="69"/>
  <c r="F63" i="69"/>
  <c r="Y63" i="84"/>
  <c r="E40" i="83"/>
  <c r="M47" i="83"/>
  <c r="D67" i="69"/>
  <c r="F29" i="75"/>
  <c r="F43" i="69"/>
  <c r="D37" i="69"/>
  <c r="K47" i="68"/>
  <c r="J47" i="68" s="1"/>
  <c r="I47" i="68" s="1"/>
  <c r="E29" i="75"/>
  <c r="F42" i="75"/>
  <c r="E42" i="75"/>
  <c r="G33" i="68"/>
  <c r="K33" i="68"/>
  <c r="J33" i="68" s="1"/>
  <c r="I33" i="68" s="1"/>
  <c r="D49" i="75"/>
  <c r="F48" i="75"/>
  <c r="E48" i="75"/>
  <c r="K43" i="68"/>
  <c r="J43" i="68" s="1"/>
  <c r="I43" i="68" s="1"/>
  <c r="G43" i="68"/>
  <c r="E37" i="75"/>
  <c r="F37" i="75"/>
  <c r="D53" i="69"/>
  <c r="E66" i="83"/>
  <c r="F66" i="83" s="1"/>
  <c r="G66" i="83" s="1"/>
  <c r="H66" i="83" s="1"/>
  <c r="I66" i="83" s="1"/>
  <c r="J66" i="83" s="1"/>
  <c r="K66" i="83" s="1"/>
  <c r="L66" i="83" s="1"/>
  <c r="M66" i="83" s="1"/>
  <c r="N66" i="83" s="1"/>
  <c r="O66" i="83" s="1"/>
  <c r="P66" i="83" s="1"/>
  <c r="Q66" i="83" s="1"/>
  <c r="R66" i="83" s="1"/>
  <c r="S66" i="83" s="1"/>
  <c r="T66" i="83" s="1"/>
  <c r="U66" i="83" s="1"/>
  <c r="V66" i="83" s="1"/>
  <c r="W66" i="83" s="1"/>
  <c r="K31" i="68"/>
  <c r="J31" i="68" s="1"/>
  <c r="I31" i="68" s="1"/>
  <c r="G31" i="68"/>
  <c r="K27" i="68"/>
  <c r="J27" i="68" s="1"/>
  <c r="I27" i="68" s="1"/>
  <c r="F67" i="69"/>
  <c r="G13" i="69"/>
  <c r="F43" i="75"/>
  <c r="G55" i="69"/>
  <c r="F71" i="69"/>
  <c r="G33" i="69"/>
  <c r="F21" i="69"/>
  <c r="D31" i="69"/>
  <c r="F23" i="69"/>
  <c r="D63" i="69"/>
  <c r="D73" i="69"/>
  <c r="E35" i="69"/>
  <c r="D20" i="82"/>
  <c r="G27" i="69"/>
  <c r="G29" i="69"/>
  <c r="G23" i="68"/>
  <c r="K23" i="68"/>
  <c r="J23" i="68" s="1"/>
  <c r="I23" i="68" s="1"/>
  <c r="G21" i="69"/>
  <c r="G43" i="69"/>
  <c r="G67" i="69"/>
  <c r="G17" i="69"/>
  <c r="G49" i="69"/>
  <c r="D43" i="75"/>
  <c r="F15" i="82"/>
  <c r="E15" i="69"/>
  <c r="D41" i="75"/>
  <c r="F59" i="69"/>
  <c r="E41" i="83"/>
  <c r="D8" i="83"/>
  <c r="D24" i="75"/>
  <c r="F27" i="69"/>
  <c r="B23" i="82"/>
  <c r="E51" i="69"/>
  <c r="E45" i="69"/>
  <c r="B22" i="82"/>
  <c r="D58" i="83"/>
  <c r="E58" i="83" s="1"/>
  <c r="F58" i="83" s="1"/>
  <c r="G58" i="83" s="1"/>
  <c r="H58" i="83" s="1"/>
  <c r="I58" i="83" s="1"/>
  <c r="J58" i="83" s="1"/>
  <c r="K58" i="83" s="1"/>
  <c r="L58" i="83" s="1"/>
  <c r="M58" i="83" s="1"/>
  <c r="N58" i="83" s="1"/>
  <c r="O58" i="83" s="1"/>
  <c r="P58" i="83" s="1"/>
  <c r="Q58" i="83" s="1"/>
  <c r="R58" i="83" s="1"/>
  <c r="S58" i="83" s="1"/>
  <c r="T58" i="83" s="1"/>
  <c r="U58" i="83" s="1"/>
  <c r="V58" i="83" s="1"/>
  <c r="W58" i="83" s="1"/>
  <c r="F33" i="69"/>
  <c r="D27" i="75"/>
  <c r="D26" i="75"/>
  <c r="F31" i="69"/>
  <c r="D30" i="75"/>
  <c r="D23" i="75"/>
  <c r="E46" i="75"/>
  <c r="F46" i="75"/>
  <c r="D69" i="69"/>
  <c r="F49" i="69"/>
  <c r="D35" i="75"/>
  <c r="F29" i="69"/>
  <c r="D25" i="75"/>
  <c r="F17" i="69"/>
  <c r="D18" i="75"/>
  <c r="D34" i="75"/>
  <c r="F47" i="69"/>
  <c r="F13" i="69"/>
  <c r="D16" i="75"/>
  <c r="E44" i="75"/>
  <c r="D65" i="69"/>
  <c r="F44" i="75"/>
  <c r="C64" i="83"/>
  <c r="C9" i="83" s="1"/>
  <c r="E63" i="83"/>
  <c r="F55" i="69"/>
  <c r="D38" i="75"/>
  <c r="T65" i="83" l="1"/>
  <c r="U65" i="83" s="1"/>
  <c r="V65" i="83" s="1"/>
  <c r="W65" i="83" s="1"/>
  <c r="W67" i="84"/>
  <c r="E45" i="84"/>
  <c r="D45" i="84" s="1"/>
  <c r="X67" i="84" s="1"/>
  <c r="F45" i="84"/>
  <c r="Z67" i="84" s="1"/>
  <c r="D29" i="84"/>
  <c r="X37" i="84" s="1"/>
  <c r="Y37" i="84"/>
  <c r="D32" i="84"/>
  <c r="X43" i="84" s="1"/>
  <c r="Y43" i="84"/>
  <c r="D37" i="84"/>
  <c r="X53" i="84" s="1"/>
  <c r="Y53" i="84"/>
  <c r="D48" i="75"/>
  <c r="B28" i="82" s="1"/>
  <c r="Y73" i="84"/>
  <c r="G73" i="69"/>
  <c r="E41" i="69"/>
  <c r="G61" i="69"/>
  <c r="D28" i="82"/>
  <c r="G71" i="69"/>
  <c r="D16" i="82"/>
  <c r="D29" i="75"/>
  <c r="G53" i="69"/>
  <c r="F57" i="69"/>
  <c r="Y65" i="84"/>
  <c r="F37" i="69"/>
  <c r="E39" i="69"/>
  <c r="F61" i="69"/>
  <c r="Y61" i="84"/>
  <c r="E43" i="69"/>
  <c r="G63" i="69"/>
  <c r="E63" i="69"/>
  <c r="F25" i="69"/>
  <c r="Y69" i="84"/>
  <c r="G69" i="69"/>
  <c r="E75" i="69"/>
  <c r="F40" i="83"/>
  <c r="N47" i="83"/>
  <c r="G37" i="69"/>
  <c r="Q50" i="83"/>
  <c r="D42" i="75"/>
  <c r="F73" i="69"/>
  <c r="D37" i="75"/>
  <c r="F53" i="69"/>
  <c r="D26" i="82"/>
  <c r="D21" i="82"/>
  <c r="E71" i="69"/>
  <c r="G31" i="69"/>
  <c r="G65" i="69"/>
  <c r="G57" i="69"/>
  <c r="F16" i="82"/>
  <c r="E23" i="69"/>
  <c r="D18" i="82"/>
  <c r="E21" i="69"/>
  <c r="G25" i="69"/>
  <c r="F21" i="82"/>
  <c r="B27" i="82"/>
  <c r="E67" i="69"/>
  <c r="E59" i="69"/>
  <c r="F25" i="82"/>
  <c r="E8" i="83"/>
  <c r="F41" i="83"/>
  <c r="B19" i="82"/>
  <c r="E27" i="69"/>
  <c r="E29" i="69"/>
  <c r="D19" i="82"/>
  <c r="D46" i="75"/>
  <c r="F69" i="69"/>
  <c r="E33" i="69"/>
  <c r="B20" i="82"/>
  <c r="F20" i="82"/>
  <c r="F22" i="82"/>
  <c r="E49" i="69"/>
  <c r="B21" i="82"/>
  <c r="B16" i="82"/>
  <c r="E17" i="69"/>
  <c r="E47" i="69"/>
  <c r="D22" i="82"/>
  <c r="E13" i="69"/>
  <c r="D15" i="82"/>
  <c r="D64" i="83"/>
  <c r="D9" i="83" s="1"/>
  <c r="D44" i="75"/>
  <c r="F65" i="69"/>
  <c r="F63" i="83"/>
  <c r="E55" i="69"/>
  <c r="F23" i="82"/>
  <c r="F27" i="82" l="1"/>
  <c r="E37" i="69"/>
  <c r="E73" i="69"/>
  <c r="B26" i="82"/>
  <c r="F18" i="82"/>
  <c r="E61" i="69"/>
  <c r="G40" i="83"/>
  <c r="O47" i="83"/>
  <c r="R50" i="83"/>
  <c r="E53" i="69"/>
  <c r="D23" i="82"/>
  <c r="E31" i="69"/>
  <c r="E57" i="69"/>
  <c r="F19" i="82"/>
  <c r="E25" i="69"/>
  <c r="G41" i="83"/>
  <c r="F8" i="83"/>
  <c r="D27" i="82"/>
  <c r="E69" i="69"/>
  <c r="F26" i="82"/>
  <c r="E65" i="69"/>
  <c r="E64" i="83"/>
  <c r="E9" i="83" s="1"/>
  <c r="G63" i="83"/>
  <c r="H40" i="83" l="1"/>
  <c r="P47" i="83"/>
  <c r="S50" i="83"/>
  <c r="G8" i="83"/>
  <c r="H41" i="83"/>
  <c r="F64" i="83"/>
  <c r="F9" i="83" s="1"/>
  <c r="H63" i="83"/>
  <c r="I40" i="83" l="1"/>
  <c r="Q47" i="83"/>
  <c r="T50" i="83"/>
  <c r="H8" i="83"/>
  <c r="I41" i="83"/>
  <c r="G64" i="83"/>
  <c r="G9" i="83" s="1"/>
  <c r="I63" i="83"/>
  <c r="J40" i="83" l="1"/>
  <c r="R47" i="83"/>
  <c r="U50" i="83"/>
  <c r="V50" i="83" s="1"/>
  <c r="W50" i="83" s="1"/>
  <c r="I8" i="83"/>
  <c r="J41" i="83"/>
  <c r="H64" i="83"/>
  <c r="H9" i="83" s="1"/>
  <c r="J63" i="83"/>
  <c r="K40" i="83" l="1"/>
  <c r="S47" i="83"/>
  <c r="K41" i="83"/>
  <c r="J8" i="83"/>
  <c r="I64" i="83"/>
  <c r="I9" i="83" s="1"/>
  <c r="K63" i="83"/>
  <c r="L40" i="83" l="1"/>
  <c r="T47" i="83"/>
  <c r="K8" i="83"/>
  <c r="L41" i="83"/>
  <c r="J64" i="83"/>
  <c r="J9" i="83" s="1"/>
  <c r="L63" i="83"/>
  <c r="M40" i="83" l="1"/>
  <c r="U47" i="83"/>
  <c r="V47" i="83" s="1"/>
  <c r="W47" i="83" s="1"/>
  <c r="M41" i="83"/>
  <c r="L8" i="83"/>
  <c r="K64" i="83"/>
  <c r="K9" i="83" s="1"/>
  <c r="M63" i="83"/>
  <c r="N40" i="83" l="1"/>
  <c r="N41" i="83"/>
  <c r="M8" i="83"/>
  <c r="L64" i="83"/>
  <c r="L9" i="83" s="1"/>
  <c r="N63" i="83"/>
  <c r="O40" i="83" l="1"/>
  <c r="N8" i="83"/>
  <c r="O41" i="83"/>
  <c r="M64" i="83"/>
  <c r="M9" i="83" s="1"/>
  <c r="O63" i="83"/>
  <c r="P40" i="83" l="1"/>
  <c r="O8" i="83"/>
  <c r="P41" i="83"/>
  <c r="N64" i="83"/>
  <c r="N9" i="83" s="1"/>
  <c r="P63" i="83"/>
  <c r="Q40" i="83" l="1"/>
  <c r="Q41" i="83"/>
  <c r="P8" i="83"/>
  <c r="O64" i="83"/>
  <c r="O9" i="83" s="1"/>
  <c r="Q63" i="83"/>
  <c r="R40" i="83" l="1"/>
  <c r="Q8" i="83"/>
  <c r="R41" i="83"/>
  <c r="S41" i="83" s="1"/>
  <c r="P64" i="83"/>
  <c r="P9" i="83" s="1"/>
  <c r="R63" i="83"/>
  <c r="S63" i="83" s="1"/>
  <c r="T63" i="83" s="1"/>
  <c r="U63" i="83" s="1"/>
  <c r="V63" i="83" s="1"/>
  <c r="W63" i="83" s="1"/>
  <c r="S40" i="83" l="1"/>
  <c r="S8" i="83"/>
  <c r="T41" i="83"/>
  <c r="R8" i="83"/>
  <c r="Q64" i="83"/>
  <c r="Q9" i="83" s="1"/>
  <c r="T40" i="83" l="1"/>
  <c r="U41" i="83"/>
  <c r="V41" i="83" s="1"/>
  <c r="W41" i="83" s="1"/>
  <c r="W8" i="83" s="1"/>
  <c r="T8" i="83"/>
  <c r="R64" i="83"/>
  <c r="V8" i="83" l="1"/>
  <c r="S64" i="83"/>
  <c r="S9" i="83" s="1"/>
  <c r="R9" i="83"/>
  <c r="U40" i="83"/>
  <c r="V40" i="83" s="1"/>
  <c r="W40" i="83" s="1"/>
  <c r="U8" i="83"/>
  <c r="T64" i="83" l="1"/>
  <c r="T9" i="83" s="1"/>
  <c r="U64" i="83"/>
  <c r="V64" i="83" s="1"/>
  <c r="W64" i="83" s="1"/>
  <c r="W9" i="83" s="1"/>
  <c r="U9" i="83" l="1"/>
  <c r="V9"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uthor>
  </authors>
  <commentList>
    <comment ref="B34" authorId="0" shapeId="0" xr:uid="{5954C443-E32E-455D-BC1F-C2BD2D38A91D}">
      <text>
        <r>
          <rPr>
            <b/>
            <sz val="9"/>
            <color indexed="81"/>
            <rFont val="Tahoma"/>
            <family val="2"/>
          </rPr>
          <t>Paul:</t>
        </r>
        <r>
          <rPr>
            <sz val="9"/>
            <color indexed="81"/>
            <rFont val="Tahoma"/>
            <family val="2"/>
          </rPr>
          <t xml:space="preserve">
Benchmark year set to 2008</t>
        </r>
      </text>
    </comment>
    <comment ref="L41" authorId="0" shapeId="0" xr:uid="{D8072AB4-D685-4D5A-A02B-7D75A2F07A16}">
      <text>
        <r>
          <rPr>
            <b/>
            <sz val="9"/>
            <color indexed="81"/>
            <rFont val="Tahoma"/>
            <family val="2"/>
          </rPr>
          <t>Paul:</t>
        </r>
        <r>
          <rPr>
            <sz val="9"/>
            <color indexed="81"/>
            <rFont val="Tahoma"/>
            <family val="2"/>
          </rPr>
          <t xml:space="preserve">
Threshold increased April 2021. Previously set to 0.03.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 Killerby</author>
  </authors>
  <commentList>
    <comment ref="Q9" authorId="0" shapeId="0" xr:uid="{09BF7980-BEF0-4470-8C52-0236C83BF001}">
      <text>
        <r>
          <rPr>
            <b/>
            <sz val="9"/>
            <color indexed="81"/>
            <rFont val="Tahoma"/>
            <family val="2"/>
          </rPr>
          <t>Paul Killerby:</t>
        </r>
        <r>
          <rPr>
            <sz val="9"/>
            <color indexed="81"/>
            <rFont val="Tahoma"/>
            <family val="2"/>
          </rPr>
          <t xml:space="preserve">
Regional figures (except for the Auckland, Wellington and Canterbury regions) are not available for 2022 due to data quality issues.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author>
  </authors>
  <commentList>
    <comment ref="A44" authorId="0" shapeId="0" xr:uid="{00000000-0006-0000-1F00-000001000000}">
      <text>
        <r>
          <rPr>
            <b/>
            <sz val="9"/>
            <color indexed="81"/>
            <rFont val="Tahoma"/>
            <family val="2"/>
          </rPr>
          <t>Paul:</t>
        </r>
        <r>
          <rPr>
            <sz val="9"/>
            <color indexed="81"/>
            <rFont val="Tahoma"/>
            <family val="2"/>
          </rPr>
          <t xml:space="preserve">
Reporting of this data commenced in 2020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 Killerby</author>
  </authors>
  <commentList>
    <comment ref="W29" authorId="0" shapeId="0" xr:uid="{944798D3-57DE-4B7C-9C24-6DA2E5F86CF1}">
      <text>
        <r>
          <rPr>
            <b/>
            <sz val="9"/>
            <color indexed="81"/>
            <rFont val="Tahoma"/>
            <family val="2"/>
          </rPr>
          <t>Paul Killerby:</t>
        </r>
        <r>
          <rPr>
            <sz val="9"/>
            <color indexed="81"/>
            <rFont val="Tahoma"/>
            <family val="2"/>
          </rPr>
          <t xml:space="preserve">
Imputed (average of adjacent years) - Regional figures (except for the Auckland, Wellington and Canterbury regions) are not available for 2022 due to data quality issues.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author>
  </authors>
  <commentList>
    <comment ref="B34" authorId="0" shapeId="0" xr:uid="{00000000-0006-0000-2400-000001000000}">
      <text>
        <r>
          <rPr>
            <b/>
            <sz val="9"/>
            <color indexed="81"/>
            <rFont val="Tahoma"/>
            <family val="2"/>
          </rPr>
          <t>Paul:</t>
        </r>
        <r>
          <rPr>
            <sz val="9"/>
            <color indexed="81"/>
            <rFont val="Tahoma"/>
            <family val="2"/>
          </rPr>
          <t xml:space="preserve">
Benchmark year set to 2008</t>
        </r>
      </text>
    </comment>
    <comment ref="L41" authorId="0" shapeId="0" xr:uid="{1C109EEE-8E63-4AE7-82F0-4FA06C6E7563}">
      <text>
        <r>
          <rPr>
            <b/>
            <sz val="9"/>
            <color indexed="81"/>
            <rFont val="Tahoma"/>
            <family val="2"/>
          </rPr>
          <t>Paul:</t>
        </r>
        <r>
          <rPr>
            <sz val="9"/>
            <color indexed="81"/>
            <rFont val="Tahoma"/>
            <family val="2"/>
          </rPr>
          <t xml:space="preserve">
Threshold increased April 2021. Previously set to 0.03.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Paul</author>
  </authors>
  <commentList>
    <comment ref="S60" authorId="0" shapeId="0" xr:uid="{00000000-0006-0000-2700-000001000000}">
      <text>
        <r>
          <rPr>
            <b/>
            <sz val="9"/>
            <color indexed="81"/>
            <rFont val="Tahoma"/>
            <family val="2"/>
          </rPr>
          <t>Paul:</t>
        </r>
        <r>
          <rPr>
            <sz val="9"/>
            <color indexed="81"/>
            <rFont val="Tahoma"/>
            <family val="2"/>
          </rPr>
          <t xml:space="preserve">
The air quality measure has improved since baseline to the extent that it has undue influence on the WPI index; for this reason, the improvement measure from 2018 is capped at a maximum of the 2016 imrpovement level.</t>
        </r>
      </text>
    </comment>
  </commentList>
</comments>
</file>

<file path=xl/sharedStrings.xml><?xml version="1.0" encoding="utf-8"?>
<sst xmlns="http://schemas.openxmlformats.org/spreadsheetml/2006/main" count="1600" uniqueCount="547">
  <si>
    <t>NOTE: The graph below is linked to data in the WPI Score Card worksheet.</t>
  </si>
  <si>
    <t>Any updates to the WPI time series worksheet will be automatically reflected in the WPI Score Card worksheet and hence the table and graph below.</t>
  </si>
  <si>
    <t>NOTE: All data below is actual (none imputed).</t>
  </si>
  <si>
    <t>Regional GDP estimates ($m) (SNZ)</t>
  </si>
  <si>
    <t>Child mortality - Fetal and infant death rate per 1,000 live births, by DHB (MOH)</t>
  </si>
  <si>
    <t>Alternative series for Waikato Region Real GDP estimates (Market Economics)</t>
  </si>
  <si>
    <t>Regional life expectancy by ethnicity (SNZ)</t>
  </si>
  <si>
    <t>NOTE: All data below is actual reported.</t>
  </si>
  <si>
    <t>WPI Scorecard</t>
  </si>
  <si>
    <t>Waikato Regional Scorecard</t>
  </si>
  <si>
    <t>Rental affordability</t>
  </si>
  <si>
    <t>2013/14</t>
  </si>
  <si>
    <t>latest</t>
  </si>
  <si>
    <t>Water quality trends in the Waikato River (pictograph)</t>
  </si>
  <si>
    <t>Crime</t>
  </si>
  <si>
    <t>Nil identified</t>
  </si>
  <si>
    <t>Feeling of safety after dark (MARCO survey)</t>
  </si>
  <si>
    <t>Percentage of school leavers with little or no formal qualification (MinEdu)</t>
  </si>
  <si>
    <t>Air quality</t>
  </si>
  <si>
    <t>TIME SERIES DATA</t>
  </si>
  <si>
    <t>Waikato Progress Indicators: Data and Metadata</t>
  </si>
  <si>
    <t>Source: New Zealand Census</t>
  </si>
  <si>
    <t>Estimated tonnage of waste to landfill per annum – Waikato and Bay of Plenty regions 2006 and 2012</t>
  </si>
  <si>
    <t>Social networks and groups to which residents belong – Hamilton City 2008 and 2010 (Quality of Life Survey)</t>
  </si>
  <si>
    <t>Perceptions of cultural diversity – Family (vs neighbourhood) respect for cultures (MARCO survey)</t>
  </si>
  <si>
    <t>Maori language speakers as proportion of Māori ethnic group (vs total population) (SNZ)</t>
  </si>
  <si>
    <t>Actual value</t>
  </si>
  <si>
    <t>Absolute value</t>
  </si>
  <si>
    <t>2006-2008</t>
  </si>
  <si>
    <t>Source: Ministry of Health/Statistics New Zealand Life Tables</t>
  </si>
  <si>
    <t>Topic</t>
  </si>
  <si>
    <t>SOCIETY</t>
  </si>
  <si>
    <t>ECONOMY</t>
  </si>
  <si>
    <t>ENVIRONMENT</t>
  </si>
  <si>
    <t>Community pride</t>
  </si>
  <si>
    <t>Physical activity</t>
  </si>
  <si>
    <t>Te Reo Māori speakers</t>
  </si>
  <si>
    <t>Regional GDP</t>
  </si>
  <si>
    <t>Income</t>
  </si>
  <si>
    <t>Cultural respect</t>
  </si>
  <si>
    <t>Building activity</t>
  </si>
  <si>
    <t>River water quality</t>
  </si>
  <si>
    <t>Source: New Zealand General Social Survey</t>
  </si>
  <si>
    <t>Percentage of total productive land failing one soil quality target - Waikato Region</t>
  </si>
  <si>
    <t>DO NOT enter data directly into this worksheet</t>
  </si>
  <si>
    <t>WPI time series</t>
  </si>
  <si>
    <t>OECD life satisfaction scores</t>
  </si>
  <si>
    <t>OECD ratio of housing costs to net adjusted disposable income</t>
  </si>
  <si>
    <t>OECD homicide and assault data</t>
  </si>
  <si>
    <t>OECD life expectancy data</t>
  </si>
  <si>
    <t>OECD perceived health data</t>
  </si>
  <si>
    <t>OECD Community data (volunteerism and helping strangers)</t>
  </si>
  <si>
    <t>Cost estimates of physical inactivity</t>
  </si>
  <si>
    <t>OECD employment rate data</t>
  </si>
  <si>
    <t>MfE Nitrate trends</t>
  </si>
  <si>
    <t>OECD land area protected for conservation purposes</t>
  </si>
  <si>
    <t>New Zealand and Regional Comparisons Table - Most recently available data</t>
  </si>
  <si>
    <t>Indicator type</t>
  </si>
  <si>
    <t>+/-</t>
  </si>
  <si>
    <t>Min</t>
  </si>
  <si>
    <t>Max</t>
  </si>
  <si>
    <t>WPI MASTER DATASHEET</t>
  </si>
  <si>
    <t>Most common named actions people have taken to protect the environment</t>
  </si>
  <si>
    <t>Feeling of safety during the daytime (MARCO survey)</t>
  </si>
  <si>
    <t>2012/13</t>
  </si>
  <si>
    <t>Housing affordability</t>
  </si>
  <si>
    <t>Census unemployment rate (SNZ)</t>
  </si>
  <si>
    <t>Perceived health</t>
  </si>
  <si>
    <t>Educational attainment</t>
  </si>
  <si>
    <t>Life expectancy</t>
  </si>
  <si>
    <t>Public transport</t>
  </si>
  <si>
    <t>Water use</t>
  </si>
  <si>
    <t>Recycling</t>
  </si>
  <si>
    <t>Water allocation as a percent of total allocatable water - Waikato River at mouth.</t>
  </si>
  <si>
    <t>2000/01</t>
  </si>
  <si>
    <t>2011/12</t>
  </si>
  <si>
    <t>Inverse?</t>
  </si>
  <si>
    <t>baseline</t>
  </si>
  <si>
    <t>Ratio (state)</t>
  </si>
  <si>
    <t>NOTE: Some but not all of the Waikato data below is linked to data in the WPI time series worksheet.</t>
  </si>
  <si>
    <t>Greenhouse gases</t>
  </si>
  <si>
    <t>Protected land</t>
  </si>
  <si>
    <t>Voter turnout</t>
  </si>
  <si>
    <t>Community engagement</t>
  </si>
  <si>
    <t>Grey cell indicates data imputation - refer Notes column</t>
  </si>
  <si>
    <t>Land and water</t>
  </si>
  <si>
    <t>Source: Waikato Regional Council - water calculator database</t>
  </si>
  <si>
    <t>Early childhood attendance by Year 1 students (MinEdu)</t>
  </si>
  <si>
    <t>Early childhood attendance by Year 1 students, by ethnic group (MinEdu)</t>
  </si>
  <si>
    <t>Rating of overall quality of life (MARCO survey)</t>
  </si>
  <si>
    <t>Level of agreement that job makes good use of their skills, training and experience (MARCO survey)</t>
  </si>
  <si>
    <t>Waikato</t>
  </si>
  <si>
    <t>Any updates to this worksheet will be automatically reflected in the WPI index graphs and spider diagrams.</t>
  </si>
  <si>
    <t>Percentage of total productive land meeting all seven soil quality targets - Waikato Region</t>
  </si>
  <si>
    <t>Mean number of bottom-dwelling marine animal taxa across all monitoring sites</t>
  </si>
  <si>
    <t>DO NOT enter data directly into this worksheet except for updated New Zealand values from the relevant worksheet, or for exceptions as noted.</t>
  </si>
  <si>
    <t>P80/P20 ratio</t>
  </si>
  <si>
    <t>Self-reported prevalence of household recycling - 'Rest of the North Island'.  Percentage of respondents whose household recycles ‘All / most of it’.   Imputation is straightline trend.  Data for 2007 extrapolated backward from 2008 using status quo assumption. Extrapolation is based simply on most recent data (no linear extrapolation).</t>
  </si>
  <si>
    <t>OECD municipal waste statistics (kg per capita)</t>
  </si>
  <si>
    <t>Estimated tonnage of waste to landfill per annum - Waikato Region.   Imputation is straight-line method.  Extrapolation is straight-line method.</t>
  </si>
  <si>
    <t>Source: Waikato Regional Council</t>
  </si>
  <si>
    <t>Percentage of regional land area meeting guidelines for 'satisfactory' and 'of concern' soil quality</t>
  </si>
  <si>
    <t>Estimated real per capita annual social costs of road injury crashes. Extrapolation is based simply on most recent and oldest data (no linear extrapolation).</t>
  </si>
  <si>
    <t>White cell indicates actual measured data</t>
  </si>
  <si>
    <t>Note that the trend direction for some of these indicators has a negative interpretation (e.g. recorded crime; unemployment rate) which requires these data to be inverted as part of the WPI calculation.</t>
  </si>
  <si>
    <t>Total</t>
  </si>
  <si>
    <t>Return to Index</t>
  </si>
  <si>
    <t>1990–1992</t>
  </si>
  <si>
    <t>1995–1997</t>
  </si>
  <si>
    <t>2000–2002</t>
  </si>
  <si>
    <t>Economic growth</t>
  </si>
  <si>
    <t>Perceptions of safety</t>
  </si>
  <si>
    <t>Source: Waikato Regional Council - environmental attitude surveys</t>
  </si>
  <si>
    <t>Interpretation?</t>
  </si>
  <si>
    <t>Negative</t>
  </si>
  <si>
    <t>Positive</t>
  </si>
  <si>
    <t>Auckland</t>
  </si>
  <si>
    <t>Bay of Plenty</t>
  </si>
  <si>
    <t>Wellington</t>
  </si>
  <si>
    <t>2001/02</t>
  </si>
  <si>
    <t>2002/03</t>
  </si>
  <si>
    <t>2003/04</t>
  </si>
  <si>
    <t>2004/05</t>
  </si>
  <si>
    <t>2005/06</t>
  </si>
  <si>
    <t>2006/07</t>
  </si>
  <si>
    <t>2007/08</t>
  </si>
  <si>
    <t>2008/09</t>
  </si>
  <si>
    <t>2009/10</t>
  </si>
  <si>
    <t>2010/11</t>
  </si>
  <si>
    <t>Environmental attitudes</t>
  </si>
  <si>
    <t>Key:</t>
  </si>
  <si>
    <t>Notes</t>
  </si>
  <si>
    <t>Indicator</t>
  </si>
  <si>
    <t>2005-2007</t>
  </si>
  <si>
    <t>n/a</t>
  </si>
  <si>
    <t>Source: Statistics New Zealand Quarterly Household Labour Force Survey</t>
  </si>
  <si>
    <t>Total waste disposed of to municipal landfills in New Zealand per annum, 1998–2006, 2010, 2011</t>
  </si>
  <si>
    <t>Source: Department of Internal Affairs</t>
  </si>
  <si>
    <t>Quarterly employment rate (employment as percentage of working-age population) - Waikato Region - Dec quarter figures.</t>
  </si>
  <si>
    <t>Total exceedances per year for all monitoring sites.</t>
  </si>
  <si>
    <t>Road safety</t>
  </si>
  <si>
    <t>NOTE: The table below is linked to data and calculations in the WPI time series worksheet.</t>
  </si>
  <si>
    <t>Any updates to the WPI time series worksheet will be automatically reflected in the table below.</t>
  </si>
  <si>
    <t>New Zealand average</t>
  </si>
  <si>
    <t>Estimated tonnage of waste to landfill per annum by waste type - Waikato Region 2012</t>
  </si>
  <si>
    <t>Dry recyclables/commodities – Waikato and Bay of Plenty regions combined 2012</t>
  </si>
  <si>
    <t>Other diverted materials – Waikato and Bay of Plenty regions combined 2012</t>
  </si>
  <si>
    <t>New Zealand</t>
  </si>
  <si>
    <t>Environmental values</t>
  </si>
  <si>
    <t>Infrastructure</t>
  </si>
  <si>
    <t>Subsequent WPI index graphs and spider diagram worksheets are linked to the data below.</t>
  </si>
  <si>
    <t>Education</t>
  </si>
  <si>
    <t>Housing</t>
  </si>
  <si>
    <t>Health</t>
  </si>
  <si>
    <t>Life satisfaction</t>
  </si>
  <si>
    <t>Social connectedness</t>
  </si>
  <si>
    <t>Leisure and recreation</t>
  </si>
  <si>
    <t>Cultural identity</t>
  </si>
  <si>
    <t>Wealth and income</t>
  </si>
  <si>
    <t>Income inequality</t>
  </si>
  <si>
    <t>Employment</t>
  </si>
  <si>
    <t>Resource use</t>
  </si>
  <si>
    <t>Soil quality</t>
  </si>
  <si>
    <t>Air and climate</t>
  </si>
  <si>
    <t>Biodiversity</t>
  </si>
  <si>
    <t>Coastal and marine</t>
  </si>
  <si>
    <t>Waste</t>
  </si>
  <si>
    <t>Civic engagement</t>
  </si>
  <si>
    <t>Dimension</t>
  </si>
  <si>
    <t>Community safety</t>
  </si>
  <si>
    <t>Average number of passenger transport boardings per resident per annum - Waikato Region.</t>
  </si>
  <si>
    <t>Source: Ministry of Transport</t>
  </si>
  <si>
    <t>Legally protected areas - New Zealand, 2009 (colour high resolution maps)</t>
  </si>
  <si>
    <t>File description</t>
  </si>
  <si>
    <t>2012-14</t>
  </si>
  <si>
    <t>Life expectancy at birth - Waikato Region.  Life expectancy in years calculated from Life Tables as simple average of male and female life expectancy estimates.  Imputation is straightline trend.</t>
  </si>
  <si>
    <t>Navigating this spreadsheet is aided by the worksheet titled 'Index', with 'Return to Index' hyperlinks at the top of each  worksheet.</t>
  </si>
  <si>
    <t>For further information visit the WPI website:</t>
  </si>
  <si>
    <t>OTHER INFORMATION</t>
  </si>
  <si>
    <t>NZ and regional comparisons</t>
  </si>
  <si>
    <t>Maori language speakers as proportion of regional Māori population, by age (SNZ)</t>
  </si>
  <si>
    <t>WPI Relative Wellbeing Circle</t>
  </si>
  <si>
    <t>REPORT CARDS</t>
  </si>
  <si>
    <t>Waikato Progress Indicators (WPI)</t>
  </si>
  <si>
    <t>(WPI indicator - Regional GDP)</t>
  </si>
  <si>
    <t>Source: Statistics New Zealand estimates</t>
  </si>
  <si>
    <t>(WPI indicator - Life satisfaction)</t>
  </si>
  <si>
    <t>WPI indicator - Educational attainment</t>
  </si>
  <si>
    <t>WPI indicator - Housing affordability</t>
  </si>
  <si>
    <t>Source: New Zealand Household Economic Survey</t>
  </si>
  <si>
    <t>WPI indicator - Perceptions of safety</t>
  </si>
  <si>
    <t>WPI indicator - Crime</t>
  </si>
  <si>
    <t>WPI indicator - Road safety</t>
  </si>
  <si>
    <t>WPI indicator - Life expectancy</t>
  </si>
  <si>
    <t>Life expectancy at birth (years)</t>
  </si>
  <si>
    <t>WPI indicator - Perceived health</t>
  </si>
  <si>
    <t>Percent with good, very good or excellent health</t>
  </si>
  <si>
    <t>WPI indicator - Social connectedness</t>
  </si>
  <si>
    <t>WPI indicator - Sense of pride</t>
  </si>
  <si>
    <t>WPI indicator - Physical activity</t>
  </si>
  <si>
    <t>WPI indicator - Cultural respect</t>
  </si>
  <si>
    <t>WPI indicator - Te Reo Māori speakers</t>
  </si>
  <si>
    <t>Percent of Māori language speakers in the total population</t>
  </si>
  <si>
    <t>WPI indicator - Voter turnout</t>
  </si>
  <si>
    <t>WPI indicator - Community engagement</t>
  </si>
  <si>
    <t>WPI indicator - Income</t>
  </si>
  <si>
    <t>WPI indicator - Income inequality</t>
  </si>
  <si>
    <t>* Gini coefficient is a commonly used statistical measure of income inequality</t>
  </si>
  <si>
    <t>Gini coefficient</t>
  </si>
  <si>
    <t>WPI indicator - Building activity</t>
  </si>
  <si>
    <t>WPI indicator - Employment</t>
  </si>
  <si>
    <t>WPI indicator - Public transport</t>
  </si>
  <si>
    <t>WPI indicator - Water use</t>
  </si>
  <si>
    <t>WPI indicator - Environmental attitudes</t>
  </si>
  <si>
    <t>WPI indicator - River water quality</t>
  </si>
  <si>
    <t>ENVIRONMENTAL</t>
  </si>
  <si>
    <t>WPI indicator - Soil quality</t>
  </si>
  <si>
    <t>Source: Waikato Regional Council - soil quality monitoring programme</t>
  </si>
  <si>
    <t>WPI indicator - Rural subdivision</t>
  </si>
  <si>
    <t>WPI indicator - Urban air quality</t>
  </si>
  <si>
    <t>Air quality exceedances</t>
  </si>
  <si>
    <t>WPI indicator - Greenhouse gases</t>
  </si>
  <si>
    <t>WPI indicator - Waste</t>
  </si>
  <si>
    <t>WPI indicator - Recycling</t>
  </si>
  <si>
    <t>Self-reported household recycling (%)</t>
  </si>
  <si>
    <t>Draft thresholds</t>
  </si>
  <si>
    <t>Scorecard (automated)</t>
  </si>
  <si>
    <t>Symbol</t>
  </si>
  <si>
    <t>ê</t>
  </si>
  <si>
    <t>é</t>
  </si>
  <si>
    <t>§</t>
  </si>
  <si>
    <t>WPI Relative Wellbeing Circle - Waikato Region compared to New Zealand using latest available data</t>
  </si>
  <si>
    <t>WPI Progress Circle - Waikato Region percentage change since 2007</t>
  </si>
  <si>
    <t>WPI time series data</t>
  </si>
  <si>
    <t>NZ and regional comparisons - latest available data</t>
  </si>
  <si>
    <t>NOTE: Some of the table below is hard-coded and some is linked.</t>
  </si>
  <si>
    <t>PRIMARY INDICATORS TA LEVEL DATA</t>
  </si>
  <si>
    <t>Educational attainment - TA level</t>
  </si>
  <si>
    <t>Community pride - TA level</t>
  </si>
  <si>
    <t>Physical activity - TA level</t>
  </si>
  <si>
    <t>Cultural respect - TA level</t>
  </si>
  <si>
    <t>Te Reo Māori speakers - TA level</t>
  </si>
  <si>
    <t>Voter turnout - TA level</t>
  </si>
  <si>
    <t>Community engagement - TA level</t>
  </si>
  <si>
    <t>Building activity - TA level</t>
  </si>
  <si>
    <t>Air quality - Monitoring sites</t>
  </si>
  <si>
    <t>SECONDARY INDICATORS REGIONAL AND TA LEVEL DATA</t>
  </si>
  <si>
    <t>Other countries/OECD - Real GDP per head (US$) constant prices</t>
  </si>
  <si>
    <t>Regional tax statistics</t>
  </si>
  <si>
    <t>Regional tax statistics - TA level</t>
  </si>
  <si>
    <t>Rating of overall quality of life (MARCO survey) - TA level</t>
  </si>
  <si>
    <t>Level of agreement that job makes good use of their skills, training and experience (MARCO survey) - TA level</t>
  </si>
  <si>
    <t>Percentage of school leavers with little or no formal qualification (MinEdu) - TA level</t>
  </si>
  <si>
    <t>Percentage of school leavers with little or no formal qualification, by ethnic group (MinEdu)</t>
  </si>
  <si>
    <t>Early childhood attendance by Year 1 students (MinEdu) - TA level</t>
  </si>
  <si>
    <t>Feeling of safety during the daytime (MARCO survey) - TA level</t>
  </si>
  <si>
    <t>Feeling of safety after dark (MARCO survey) - TA level</t>
  </si>
  <si>
    <t>Life expectancy - TA level</t>
  </si>
  <si>
    <t>Perceptions of cultural diversity – Family (vs neighbourhood) respect for cultures (MARCO survey) - TA level</t>
  </si>
  <si>
    <t>Maori language speakers as proportion of Māori ethnic group (vs total population) (SNZ) - TA level</t>
  </si>
  <si>
    <t>Voter turnout in general elections, by electorate</t>
  </si>
  <si>
    <t>Mayoral election turnout - TA level</t>
  </si>
  <si>
    <t>OECD voter turnout data</t>
  </si>
  <si>
    <t>Income per capita (OECD)</t>
  </si>
  <si>
    <t>P80/P20 ratio (OECD)</t>
  </si>
  <si>
    <t>Value of new dwelling units authorised (Annual - Dec) (SNZ)</t>
  </si>
  <si>
    <t>Value of new non-residential buildings authorised (Annual - Dec) (SNZ)</t>
  </si>
  <si>
    <t>Census unemployment rate (SNZ) - TA level</t>
  </si>
  <si>
    <t>Most common named actions people have taken to protect the environment - TA level</t>
  </si>
  <si>
    <t>River water quality for recreation</t>
  </si>
  <si>
    <t>Regional/unitary councils fresh water quality monitoring - Monitoring sites</t>
  </si>
  <si>
    <t>Summary of intensified rural land in the Waikato Region 1991 to 2006 - TA level</t>
  </si>
  <si>
    <t>Percentage of air samples meeting "good", "acceptable" or "alert" PM10 levels relative to guidelines - Monitoring sites</t>
  </si>
  <si>
    <t>Threatened environments - TA level</t>
  </si>
  <si>
    <t>List of secondary indicators and TA level data</t>
  </si>
  <si>
    <t>Percentage of school leavers with NCEA level 2 or above</t>
  </si>
  <si>
    <t>Source: Ministry of Education</t>
  </si>
  <si>
    <t>At least a high school qualification - TA level</t>
  </si>
  <si>
    <t>Indigenous vegetation</t>
  </si>
  <si>
    <t>WPI indicator - Indigenous vegetation</t>
  </si>
  <si>
    <t>Indigenous forest</t>
  </si>
  <si>
    <t>Indigenous scrub/shrubland</t>
  </si>
  <si>
    <t>Indigenous tussock grassland</t>
  </si>
  <si>
    <t>Extent of indigenous vegetation on land. This figure was unchanged between 1996 and 2012.</t>
  </si>
  <si>
    <t>Indigenous vegetation - TA level</t>
  </si>
  <si>
    <t>Source: New Zealand Income Survey median weekly household income deflated using the Consumer Price Index (CPI)</t>
  </si>
  <si>
    <t>This spreadsheet is used to maintain and update time series data for Report Cards, Scorecard and performance circle diagrams on the WPI website; along with associated information such as regional comparisons.  A separate spreadsheet is available with WPI secondary indicators and territorial authority (TA) level data.</t>
  </si>
  <si>
    <t>Percentage ‘unsatisfactory’ river water samples (all sites) for ecological water quality in Waikato rivers and streams.  Baseline is 2003-2007 (reported as 2007 value), latest value is 2011-2015 (reported as 2015 value).  Straightline extrapolation of baseline to latest available data (i.e. do NOT use the interim annually publicly reported five-year rolling averages - only use the latest five-year rolling average - as per advice from WRC Water Quality Scientist in November 2012). Extrapolation is based simply on most recent and oldest data (no linear extrapolation).</t>
  </si>
  <si>
    <t>Percentage of respondents who said they felt lonely ‘none of the time’ in the last four weeks - 'Rest of the North Island'.  Imputation is straightline trend.  Data for 2007 extrapolated backward from 2008 using status quo assumption. Extrapolation to most recent year is based simply on most recent data (no linear extrapolation). Note: From 2014, NZGSS data for this item is not directly comparable with prior years due to a change in the wording of the survey question, hence there is a time series break after 2012.</t>
  </si>
  <si>
    <t>Source: Waikato Regional Council Healthy Rivers Indicator Data Spreadsheets</t>
  </si>
  <si>
    <t>2003-2007</t>
  </si>
  <si>
    <t>2004-2008</t>
  </si>
  <si>
    <t>2008-2012</t>
  </si>
  <si>
    <t>2009-2013</t>
  </si>
  <si>
    <t>2010-2014</t>
  </si>
  <si>
    <t>2011-2015</t>
  </si>
  <si>
    <t>Unsatisfactory - All sites</t>
  </si>
  <si>
    <t>Satisfactory - All sites</t>
  </si>
  <si>
    <t>Percent of soil quality monitoring sites meeting six or more soil quality targets - Waikato Region.  Extrapolation is based simply on most recent and oldest data (no linear extrapolation).</t>
  </si>
  <si>
    <t>Note: Percentages are corrected for productive land area</t>
  </si>
  <si>
    <t>Percentage of monitoring sites meeting five or more soil quality targets</t>
  </si>
  <si>
    <t>2014/15</t>
  </si>
  <si>
    <t>Annual total recorded offences per 10,000 population (fiscal year) - discontinued</t>
  </si>
  <si>
    <t>Educational attainment by ethnic group</t>
  </si>
  <si>
    <t>Educational attainment by gender</t>
  </si>
  <si>
    <t>Residents' sense of pride in the way their district looks and feels (MARCO Survey 2007-2013)</t>
  </si>
  <si>
    <t>Source: Quality of Life Survey</t>
  </si>
  <si>
    <t>Percent who feel pride in look and feel of city/local area</t>
  </si>
  <si>
    <t>Sense of pride in the way city/town looks and feels - Waikato Region.  Quality of Life Survey.  Imputation is straightline trend.</t>
  </si>
  <si>
    <t>Cultural respect - MARCO</t>
  </si>
  <si>
    <t>Impact of greater cultural diversity - Better/much better place to live</t>
  </si>
  <si>
    <t>Perceptions of cultural diversity – Waikato Region.  Quality of Life Survey.  Imputation is straightline trend.</t>
  </si>
  <si>
    <t>Perceived health - TA level</t>
  </si>
  <si>
    <t xml:space="preserve">Self-rated general health status - Waikato region.  Quality of Life Survey. Percentage reporting 'good',  'very good' or 'excellent'.  Imputation is straightline trend. </t>
  </si>
  <si>
    <t>Self-rated health status - New Zealand Health Survey</t>
  </si>
  <si>
    <t>Percentage of people who say they did 30 minutes of activity a day on 5 or more of the past 7 days - New Zealand Health Survey</t>
  </si>
  <si>
    <t>Frequency of doing physical activity in past week - Five or more days</t>
  </si>
  <si>
    <t>Percentage of respondents who said they were physically active on five or more of the past seven days - Waikato region. Quality of Life Survey. Imputation is straightline trend.</t>
  </si>
  <si>
    <t>People's level of agreement that they have enough say in what their council does - MARCO</t>
  </si>
  <si>
    <t>Perception of public's influence on Council decision making - Some or large influence</t>
  </si>
  <si>
    <t>Percentage of people who agree that the public have ‘large’ or ‘some’ influence over the decisions that their local Council makes. Quality of Life Survey.  Imputation is straightline trend.</t>
  </si>
  <si>
    <t>Perceptions of safety - TA level</t>
  </si>
  <si>
    <t>Percentage of adults who feel safe walking alone in their neighbourhood after dark - NZ Crime and Safety Survey</t>
  </si>
  <si>
    <t>Perceptions of safety - NZ General Social Survey</t>
  </si>
  <si>
    <t>Perceived safety walking alone in neighbourhood after dark - Fairly or very safe</t>
  </si>
  <si>
    <t>Respondents’ feeling of safety when walking alone in their neighbourhod after dark (very/fairly safe) - Waikato region. Quality of Life Survey. Imputation is straight-line trend.</t>
  </si>
  <si>
    <t>Social connectedness - TA level</t>
  </si>
  <si>
    <t>Self-reported absence of loneliness - NZ General Social Survey</t>
  </si>
  <si>
    <t>Sense of community experienced - Agree or strongly agree</t>
  </si>
  <si>
    <t>Life satisfaction - TA level</t>
  </si>
  <si>
    <t>Life satisfaction - NZ General Social Survey</t>
  </si>
  <si>
    <t xml:space="preserve">Self-reported overall qulity of life - Waikato region.  Quality of Life survey.  Imputation is straightline trend. </t>
  </si>
  <si>
    <t xml:space="preserve">* The NEP (New Ecological Paradigm) scale is an internationally used broad measure of 'environmental attitude' that summarises environmental attitudes from pro-ecological to anti-ecological. </t>
  </si>
  <si>
    <t>New Ecological Paradigm - Percentage pro- or mid-ecological</t>
  </si>
  <si>
    <t>Percentage of respondents classified as 'pro-ecological' or 'mid-ecological' on the New Ecological Paradigm (NEP) scale. Imputation pre-2004 makes use of available 2000 survey data (36.0%) not shown.  All imputation uses straightline trend.</t>
  </si>
  <si>
    <t>Percentage of adults who say they took part in sport or recreation in the past 7 days - Sport NZ Active New Zealand Survey</t>
  </si>
  <si>
    <t>Percentage of adults who say they are interested in trying a new sport/activity or doing more of an existing one - Sport NZ Active New Zealand Survey</t>
  </si>
  <si>
    <t>2015/16</t>
  </si>
  <si>
    <t>Crime rate per 10,000 population</t>
  </si>
  <si>
    <t>NZ Police Victimisations data</t>
  </si>
  <si>
    <t>2016/17</t>
  </si>
  <si>
    <t>Deaths by assault per 100,000 population</t>
  </si>
  <si>
    <t>Source: Statistics New Zealand (calculated January 2018)</t>
  </si>
  <si>
    <t>Note: Household equivalisation uses Revised Jensen Scale, where equivalisation takes into account age and role in family. After housing costs - expenditure on housing (2009 Stats NZ standard) is deducted from equivalised disposable income. Gini coefficients program sourced from Stats NZ.</t>
  </si>
  <si>
    <t>Gini coefficient.  Pre-2007 values assume no trend (absence of historical data).</t>
  </si>
  <si>
    <t>2012-2016</t>
  </si>
  <si>
    <t>GDP per person estimates from Statistics New Zealand regional GDP per capita series in current (nominal) prices, deflated to real terms using CPI series.</t>
  </si>
  <si>
    <t>2013-2017</t>
  </si>
  <si>
    <t>NOTE: The data below are linked from relevant worksheets, with missing annual data imputed.</t>
  </si>
  <si>
    <t>Waikato Progress Indicators (WPI) - Dashboard</t>
  </si>
  <si>
    <t>OECD percentage of people who feel safe walking alone at night</t>
  </si>
  <si>
    <t>2017/18</t>
  </si>
  <si>
    <t>Any updates to the WPI time series worksheet are automatically reflected in the Waikato column below.</t>
  </si>
  <si>
    <t>Any Waikato data updates to the WPI time series worksheet will be automatically reflected in the WPI Score Card worksheet and hence the table and graph below.</t>
  </si>
  <si>
    <t>Residential expansion onto versatile land</t>
  </si>
  <si>
    <t>Rural residential</t>
  </si>
  <si>
    <t>Total residential</t>
  </si>
  <si>
    <t>Residential expansion onto versatile land - TA level</t>
  </si>
  <si>
    <t>Residential area change by land versatility</t>
  </si>
  <si>
    <t>Residential area change by land versatility - TA level</t>
  </si>
  <si>
    <t>Coastal ecosystem health</t>
  </si>
  <si>
    <t>Average Traits Based Index (TBI) scores for monitored sites</t>
  </si>
  <si>
    <t>Regional index (average of all sites)</t>
  </si>
  <si>
    <t>WPI indicator - Coastal ecosystem health</t>
  </si>
  <si>
    <t>Traits Based Index calculated for estuarine monitoring sites from sediment-dwelling animal community composition data</t>
  </si>
  <si>
    <t>The NZ column below is hard-coded</t>
  </si>
  <si>
    <t>The Waikato column below is linked to the 'WPI Score Card' tab</t>
  </si>
  <si>
    <t>The Auckland, Wellington and BoP data below are hard-coded</t>
  </si>
  <si>
    <t>The NZ column below is linked to the 'WPI Relative Wellbeing Circle' tab, with the exception of Public transport which is hard-coded and Greenhouse gases which is linked to the 'WPI Score Card' tab</t>
  </si>
  <si>
    <t>The data below can be filtered and sorted using the drop-down arrows..</t>
  </si>
  <si>
    <t>The data below can be filtered and sorted using the drop-down arrows. This will also generate a radar diagram for sub-sets of indicators. Re-sort by row numbers (column A) to reset.</t>
  </si>
  <si>
    <t>GDP vs Waikato composite indexes (CIW method)</t>
  </si>
  <si>
    <t>Index of Wellbeing</t>
  </si>
  <si>
    <t>This tab presents GDP data alongside an overall index of wellbeing (calculated using the Canadian Index of Wellbeing (CIW) methodology) - refer https://uwaterloo.ca/canadian-index-wellbeing/sites/ca.canadian-index-wellbeing/files/uploads/files/Canadian_Index_of_Wellbeing-TechnicalPaper-FINAL.pdf</t>
  </si>
  <si>
    <t>GDP</t>
  </si>
  <si>
    <t>Note: Data for these indicators are available in a separate spreadsheet.</t>
  </si>
  <si>
    <t>Calculations for Overall index</t>
  </si>
  <si>
    <t>Index page</t>
  </si>
  <si>
    <r>
      <t xml:space="preserve">    </t>
    </r>
    <r>
      <rPr>
        <sz val="28"/>
        <color indexed="17"/>
        <rFont val="Wingdings"/>
        <charset val="2"/>
      </rPr>
      <t xml:space="preserve">é  </t>
    </r>
    <r>
      <rPr>
        <sz val="28"/>
        <rFont val="Wingdings"/>
        <charset val="2"/>
      </rPr>
      <t>n</t>
    </r>
    <r>
      <rPr>
        <sz val="28"/>
        <color indexed="17"/>
        <rFont val="Wingdings"/>
        <charset val="2"/>
      </rPr>
      <t xml:space="preserve">  </t>
    </r>
    <r>
      <rPr>
        <sz val="28"/>
        <color indexed="10"/>
        <rFont val="Wingdings"/>
        <charset val="2"/>
      </rPr>
      <t>ê</t>
    </r>
    <r>
      <rPr>
        <sz val="10"/>
        <rFont val="Wingdings"/>
        <charset val="2"/>
      </rPr>
      <t xml:space="preserve">
  </t>
    </r>
    <r>
      <rPr>
        <sz val="10"/>
        <rFont val="Arial"/>
        <family val="2"/>
      </rPr>
      <t>IMPROVING       NO SIGNIFICANT      WORSENING
           TREND                           CHANGE                            TREND</t>
    </r>
  </si>
  <si>
    <t>2018/19</t>
  </si>
  <si>
    <t>Number of new dwelling units authorised (Annual - Dec) (SNZ)</t>
  </si>
  <si>
    <t>Number of new dwelling units authorised per month (SNZ) - TA level  (Annual - Dec)</t>
  </si>
  <si>
    <t>Value of new dwelling units authorised (SNZ) - TA level  (Annual - Dec)</t>
  </si>
  <si>
    <t>Value of new non-residential buildings authorised (SNZ) - TA level  (Annual - Dec)</t>
  </si>
  <si>
    <t>National annual total greenhouse gas emissions</t>
  </si>
  <si>
    <t>Ratio of housing costs to household disposable income (percentage)</t>
  </si>
  <si>
    <t>Crime - TA level</t>
  </si>
  <si>
    <t>2014-2018</t>
  </si>
  <si>
    <t>2015-2019</t>
  </si>
  <si>
    <t>Indigenous vegetation (ha)</t>
  </si>
  <si>
    <t>Vegetation type</t>
  </si>
  <si>
    <t>Alpine Grass/Herbfield</t>
  </si>
  <si>
    <t>Broadleaved Indigenous Hardwoods</t>
  </si>
  <si>
    <t>Fernland</t>
  </si>
  <si>
    <t>Flaxland</t>
  </si>
  <si>
    <t>Indigenous Forest</t>
  </si>
  <si>
    <t>Manuka and/or Kanuka</t>
  </si>
  <si>
    <t>Matagouri or Grey Scrub</t>
  </si>
  <si>
    <t>Sub Alpine Shrubland</t>
  </si>
  <si>
    <t>Tall Tussock Grassland</t>
  </si>
  <si>
    <t>TOTAL</t>
  </si>
  <si>
    <t>Change 2012-2018</t>
  </si>
  <si>
    <t>Language spoken (Māori), usually resident population count - Waikato Region.  Imputation is straightline intercensal trend and flat-line extrapolation from latest available.</t>
  </si>
  <si>
    <t>Allocated volume compared to primary allocable flow - Waikato River at mouth</t>
  </si>
  <si>
    <t>Refer notes below</t>
  </si>
  <si>
    <t>Data are linked to the 'WPI time series' tab. The Overall row is calculated using the CIW methodology. Additional data notes are provided below in relation to the 2018 index value.</t>
  </si>
  <si>
    <t>Victimisations - TA level</t>
  </si>
  <si>
    <t>Greenhouse gases - TA level</t>
  </si>
  <si>
    <t>Real value of new building consents authorised per capita ($) (annual - Dec)</t>
  </si>
  <si>
    <t>Building activity (per capita)</t>
  </si>
  <si>
    <t>Regional GDP - TA level</t>
  </si>
  <si>
    <t>Regional road deaths</t>
  </si>
  <si>
    <t>Road crashes - TA level</t>
  </si>
  <si>
    <t>Road casualties - TA level</t>
  </si>
  <si>
    <t>2019/20</t>
  </si>
  <si>
    <t>Overall quality of life - Good, very good or extremely good</t>
  </si>
  <si>
    <r>
      <t xml:space="preserve">Prior wording: " Thinking about all your physical activity over the last </t>
    </r>
    <r>
      <rPr>
        <b/>
        <sz val="9"/>
        <color theme="1"/>
        <rFont val="Calibri"/>
        <family val="2"/>
        <scheme val="minor"/>
      </rPr>
      <t>7 days</t>
    </r>
    <r>
      <rPr>
        <sz val="9"/>
        <color theme="1"/>
        <rFont val="Calibri"/>
        <family val="2"/>
        <scheme val="minor"/>
      </rPr>
      <t xml:space="preserve"> (not including today), on how many days did you engage in....? a) At least </t>
    </r>
    <r>
      <rPr>
        <b/>
        <sz val="9"/>
        <color theme="1"/>
        <rFont val="Calibri"/>
        <family val="2"/>
        <scheme val="minor"/>
      </rPr>
      <t>30 minutes of moderate</t>
    </r>
    <r>
      <rPr>
        <sz val="9"/>
        <color theme="1"/>
        <rFont val="Calibri"/>
        <family val="2"/>
        <scheme val="minor"/>
      </rPr>
      <t xml:space="preserve"> activity - 'moderate' activities might make you breathe harder than normal, but only a little - like brisk walking, carrying light loads, cycling at a regular pace, or other activities like table tennis. OR b) At least </t>
    </r>
    <r>
      <rPr>
        <b/>
        <sz val="9"/>
        <color theme="1"/>
        <rFont val="Calibri"/>
        <family val="2"/>
        <scheme val="minor"/>
      </rPr>
      <t>15 minutes of vigorous</t>
    </r>
    <r>
      <rPr>
        <sz val="9"/>
        <color theme="1"/>
        <rFont val="Calibri"/>
        <family val="2"/>
        <scheme val="minor"/>
      </rPr>
      <t xml:space="preserve"> activity - 'vigorous' activities make you breathe a lot harder than normal ('huff and puff') – like running, heavy lifting, digging, aerobics, fast cycling, or other activities like rugby or netball."</t>
    </r>
  </si>
  <si>
    <t xml:space="preserve">Note: Caution needed when comparing results from 2020 compared to prior years due to differences in question wording. </t>
  </si>
  <si>
    <r>
      <t xml:space="preserve">Wording since 2020: "In the past week, on </t>
    </r>
    <r>
      <rPr>
        <b/>
        <sz val="9"/>
        <color theme="1"/>
        <rFont val="Calibri"/>
        <family val="2"/>
        <scheme val="minor"/>
      </rPr>
      <t>how many days</t>
    </r>
    <r>
      <rPr>
        <sz val="9"/>
        <color theme="1"/>
        <rFont val="Calibri"/>
        <family val="2"/>
        <scheme val="minor"/>
      </rPr>
      <t xml:space="preserve"> have you done a </t>
    </r>
    <r>
      <rPr>
        <b/>
        <sz val="9"/>
        <color theme="1"/>
        <rFont val="Calibri"/>
        <family val="2"/>
        <scheme val="minor"/>
      </rPr>
      <t>total of 30 minutes</t>
    </r>
    <r>
      <rPr>
        <sz val="9"/>
        <color theme="1"/>
        <rFont val="Calibri"/>
        <family val="2"/>
        <scheme val="minor"/>
      </rPr>
      <t xml:space="preserve"> or more of physical activity, which was enough to </t>
    </r>
    <r>
      <rPr>
        <b/>
        <sz val="9"/>
        <color theme="1"/>
        <rFont val="Calibri"/>
        <family val="2"/>
        <scheme val="minor"/>
      </rPr>
      <t>raise your breathing rate</t>
    </r>
    <r>
      <rPr>
        <sz val="9"/>
        <color theme="1"/>
        <rFont val="Calibri"/>
        <family val="2"/>
        <scheme val="minor"/>
      </rPr>
      <t>?"</t>
    </r>
  </si>
  <si>
    <t>Note 1: Survey question changed from a 5-point scale to a 7-point scale in 2018. Subsequently measured as percent good, very good or extremely good.</t>
  </si>
  <si>
    <t xml:space="preserve">Note 2: From 2020, WPI results are based on a question asked at the beginning of questionnaire, not near the end as in previous surveys. This may have increased the percentage of 'good, very good or extremely good' responses compared to prior results (based on comparisons using 2018 survey responses). Given that the survey content changes slightly each time the survey is conducted, there is a risk the quality of life indicator results for 2006, 2016 and 2018 were influenced by slightly different things each survey year. </t>
  </si>
  <si>
    <t>Annual recorded crimes per 10,000 population (year to December) - Waikato TAs aggregated - Spliced series to accommodate time series break</t>
  </si>
  <si>
    <t>Air pollution exposure - international data</t>
  </si>
  <si>
    <t>2016-2020</t>
  </si>
  <si>
    <t>Latest available data from 2018 Census</t>
  </si>
  <si>
    <t>Source: New Zealand Police Victimisation Statistics (2015 onwards) and estimates historical series</t>
  </si>
  <si>
    <t>Public transport boardings per resident per annum</t>
  </si>
  <si>
    <t>Waikato progress indicators - tupuranga Waikato</t>
  </si>
  <si>
    <t>REGIONAL COUNCIL</t>
  </si>
  <si>
    <t>Te Kauniherea a Rohe o Waikato</t>
  </si>
  <si>
    <t>The Waikato progress indicators (WPI) measures social, economic and environmental progress in the Waikato region.</t>
  </si>
  <si>
    <r>
      <rPr>
        <b/>
        <sz val="16"/>
        <rFont val="Arial"/>
        <family val="2"/>
      </rPr>
      <t>Building activity</t>
    </r>
    <r>
      <rPr>
        <sz val="10"/>
        <rFont val="Arial"/>
        <family val="2"/>
      </rPr>
      <t xml:space="preserve">
</t>
    </r>
    <r>
      <rPr>
        <sz val="12"/>
        <rFont val="Arial"/>
        <family val="2"/>
      </rPr>
      <t>Real value of new building consents issued.</t>
    </r>
  </si>
  <si>
    <r>
      <rPr>
        <b/>
        <sz val="16"/>
        <rFont val="Arial"/>
        <family val="2"/>
      </rPr>
      <t>Employment</t>
    </r>
    <r>
      <rPr>
        <sz val="10"/>
        <rFont val="Arial"/>
        <family val="2"/>
      </rPr>
      <t xml:space="preserve">
</t>
    </r>
    <r>
      <rPr>
        <sz val="12"/>
        <rFont val="Arial"/>
        <family val="2"/>
      </rPr>
      <t>Percentage of total working-age population who are employed.</t>
    </r>
  </si>
  <si>
    <r>
      <rPr>
        <b/>
        <sz val="16"/>
        <rFont val="Arial"/>
        <family val="2"/>
      </rPr>
      <t>Housing affordability</t>
    </r>
    <r>
      <rPr>
        <sz val="10"/>
        <rFont val="Arial"/>
        <family val="2"/>
      </rPr>
      <t xml:space="preserve">
</t>
    </r>
    <r>
      <rPr>
        <sz val="12"/>
        <rFont val="Arial"/>
        <family val="2"/>
      </rPr>
      <t>Ratio of housing costs to household disposable income.</t>
    </r>
  </si>
  <si>
    <r>
      <rPr>
        <b/>
        <sz val="16"/>
        <rFont val="Arial"/>
        <family val="2"/>
      </rPr>
      <t>Income</t>
    </r>
    <r>
      <rPr>
        <sz val="10"/>
        <rFont val="Arial"/>
        <family val="2"/>
      </rPr>
      <t xml:space="preserve">
</t>
    </r>
    <r>
      <rPr>
        <sz val="12"/>
        <rFont val="Arial"/>
        <family val="2"/>
      </rPr>
      <t>Real median weekly household income.</t>
    </r>
  </si>
  <si>
    <r>
      <rPr>
        <b/>
        <sz val="16"/>
        <rFont val="Arial"/>
        <family val="2"/>
      </rPr>
      <t>Regional GDP</t>
    </r>
    <r>
      <rPr>
        <sz val="10"/>
        <rFont val="Arial"/>
        <family val="2"/>
      </rPr>
      <t xml:space="preserve">
</t>
    </r>
    <r>
      <rPr>
        <sz val="12"/>
        <rFont val="Arial"/>
        <family val="2"/>
      </rPr>
      <t>Real Gross Domestic Product (GDP) per capita</t>
    </r>
    <r>
      <rPr>
        <sz val="10"/>
        <rFont val="Arial"/>
        <family val="2"/>
      </rPr>
      <t>.</t>
    </r>
  </si>
  <si>
    <r>
      <rPr>
        <b/>
        <sz val="16"/>
        <rFont val="Arial"/>
        <family val="2"/>
      </rPr>
      <t>Water use</t>
    </r>
    <r>
      <rPr>
        <sz val="10"/>
        <rFont val="Arial"/>
        <family val="2"/>
      </rPr>
      <t xml:space="preserve">
</t>
    </r>
    <r>
      <rPr>
        <sz val="12"/>
        <rFont val="Arial"/>
        <family val="2"/>
      </rPr>
      <t>Water allocation as a percentage of primary allocable water (Waikato River).</t>
    </r>
  </si>
  <si>
    <r>
      <rPr>
        <b/>
        <sz val="16"/>
        <rFont val="Arial"/>
        <family val="2"/>
      </rPr>
      <t>Community engagement</t>
    </r>
    <r>
      <rPr>
        <sz val="10"/>
        <rFont val="Arial"/>
        <family val="2"/>
      </rPr>
      <t xml:space="preserve">
</t>
    </r>
    <r>
      <rPr>
        <sz val="12"/>
        <rFont val="Arial"/>
        <family val="2"/>
      </rPr>
      <t>Percentage of people who agree the public can influence Council decisions.</t>
    </r>
  </si>
  <si>
    <r>
      <rPr>
        <b/>
        <sz val="16"/>
        <rFont val="Arial"/>
        <family val="2"/>
      </rPr>
      <t>Community pride</t>
    </r>
    <r>
      <rPr>
        <sz val="10"/>
        <rFont val="Arial"/>
        <family val="2"/>
      </rPr>
      <t xml:space="preserve">
</t>
    </r>
    <r>
      <rPr>
        <sz val="12"/>
        <rFont val="Arial"/>
        <family val="2"/>
      </rPr>
      <t>People's sense of pride in the way their city/town looks and feels.</t>
    </r>
  </si>
  <si>
    <r>
      <rPr>
        <b/>
        <sz val="16"/>
        <rFont val="Arial"/>
        <family val="2"/>
      </rPr>
      <t>Crime</t>
    </r>
    <r>
      <rPr>
        <sz val="10"/>
        <rFont val="Arial"/>
        <family val="2"/>
      </rPr>
      <t xml:space="preserve">
</t>
    </r>
    <r>
      <rPr>
        <sz val="12"/>
        <rFont val="Arial"/>
        <family val="2"/>
      </rPr>
      <t>Rates of victimisation per 10,000 population.</t>
    </r>
  </si>
  <si>
    <r>
      <rPr>
        <b/>
        <sz val="16"/>
        <rFont val="Arial"/>
        <family val="2"/>
      </rPr>
      <t>Cultural respect</t>
    </r>
    <r>
      <rPr>
        <sz val="10"/>
        <rFont val="Arial"/>
        <family val="2"/>
      </rPr>
      <t xml:space="preserve">
</t>
    </r>
    <r>
      <rPr>
        <sz val="12"/>
        <rFont val="Arial"/>
        <family val="2"/>
      </rPr>
      <t>Level of agreement that having people with different lifestyles and cultures makes area a better place to live.</t>
    </r>
  </si>
  <si>
    <r>
      <rPr>
        <b/>
        <sz val="16"/>
        <rFont val="Arial"/>
        <family val="2"/>
      </rPr>
      <t>Educational attainment</t>
    </r>
    <r>
      <rPr>
        <sz val="10"/>
        <rFont val="Arial"/>
        <family val="2"/>
      </rPr>
      <t xml:space="preserve">
</t>
    </r>
    <r>
      <rPr>
        <sz val="12"/>
        <rFont val="Arial"/>
        <family val="2"/>
      </rPr>
      <t>Percentage of school leavers with NCEA level 2 or above.</t>
    </r>
  </si>
  <si>
    <r>
      <rPr>
        <b/>
        <sz val="16"/>
        <rFont val="Arial"/>
        <family val="2"/>
      </rPr>
      <t>Income inequality</t>
    </r>
    <r>
      <rPr>
        <sz val="10"/>
        <rFont val="Arial"/>
        <family val="2"/>
      </rPr>
      <t xml:space="preserve">
</t>
    </r>
    <r>
      <rPr>
        <sz val="12"/>
        <rFont val="Arial"/>
        <family val="2"/>
      </rPr>
      <t>Gini coefficient - a measure of the concentration of income within the region.</t>
    </r>
  </si>
  <si>
    <r>
      <rPr>
        <b/>
        <sz val="16"/>
        <rFont val="Arial"/>
        <family val="2"/>
      </rPr>
      <t>Life expectancy</t>
    </r>
    <r>
      <rPr>
        <sz val="10"/>
        <rFont val="Arial"/>
        <family val="2"/>
      </rPr>
      <t xml:space="preserve">
</t>
    </r>
    <r>
      <rPr>
        <sz val="12"/>
        <rFont val="Arial"/>
        <family val="2"/>
      </rPr>
      <t>Life expectancy at birth.</t>
    </r>
  </si>
  <si>
    <r>
      <rPr>
        <b/>
        <sz val="16"/>
        <rFont val="Arial"/>
        <family val="2"/>
      </rPr>
      <t>Life satisfaction</t>
    </r>
    <r>
      <rPr>
        <sz val="10"/>
        <rFont val="Arial"/>
        <family val="2"/>
      </rPr>
      <t xml:space="preserve">
</t>
    </r>
    <r>
      <rPr>
        <sz val="12"/>
        <rFont val="Arial"/>
        <family val="2"/>
      </rPr>
      <t>Percentage of people who rate their overall quality of life positively.</t>
    </r>
  </si>
  <si>
    <r>
      <rPr>
        <b/>
        <sz val="16"/>
        <rFont val="Arial"/>
        <family val="2"/>
      </rPr>
      <t>Perceived health</t>
    </r>
    <r>
      <rPr>
        <sz val="10"/>
        <rFont val="Arial"/>
        <family val="2"/>
      </rPr>
      <t xml:space="preserve">
</t>
    </r>
    <r>
      <rPr>
        <sz val="12"/>
        <rFont val="Arial"/>
        <family val="2"/>
      </rPr>
      <t>Percentage of people who rate their overall health good, very good or excellent.</t>
    </r>
  </si>
  <si>
    <r>
      <rPr>
        <b/>
        <sz val="16"/>
        <rFont val="Arial"/>
        <family val="2"/>
      </rPr>
      <t>Perceptions of safety</t>
    </r>
    <r>
      <rPr>
        <sz val="10"/>
        <rFont val="Arial"/>
        <family val="2"/>
      </rPr>
      <t xml:space="preserve">
</t>
    </r>
    <r>
      <rPr>
        <sz val="12"/>
        <rFont val="Arial"/>
        <family val="2"/>
      </rPr>
      <t>Percentage of adults who feel safe walking alone in their neighbourhood after dark.</t>
    </r>
  </si>
  <si>
    <r>
      <rPr>
        <b/>
        <sz val="16"/>
        <rFont val="Arial"/>
        <family val="2"/>
      </rPr>
      <t>Greenhouse gases</t>
    </r>
    <r>
      <rPr>
        <sz val="10"/>
        <rFont val="Arial"/>
        <family val="2"/>
      </rPr>
      <t xml:space="preserve">
</t>
    </r>
    <r>
      <rPr>
        <sz val="12"/>
        <rFont val="Arial"/>
        <family val="2"/>
      </rPr>
      <t>Annual total greenhouse gas emissions.</t>
    </r>
  </si>
  <si>
    <r>
      <rPr>
        <b/>
        <sz val="16"/>
        <rFont val="Arial"/>
        <family val="2"/>
      </rPr>
      <t>Physical activity</t>
    </r>
    <r>
      <rPr>
        <sz val="10"/>
        <rFont val="Arial"/>
        <family val="2"/>
      </rPr>
      <t xml:space="preserve">
</t>
    </r>
    <r>
      <rPr>
        <sz val="12"/>
        <rFont val="Arial"/>
        <family val="2"/>
      </rPr>
      <t>Percentage of people who say they were physically active on five or more of the past seven days.</t>
    </r>
  </si>
  <si>
    <r>
      <rPr>
        <b/>
        <sz val="16"/>
        <rFont val="Arial"/>
        <family val="2"/>
      </rPr>
      <t>Public transport</t>
    </r>
    <r>
      <rPr>
        <sz val="10"/>
        <rFont val="Arial"/>
        <family val="2"/>
      </rPr>
      <t xml:space="preserve">
</t>
    </r>
    <r>
      <rPr>
        <sz val="12"/>
        <rFont val="Arial"/>
        <family val="2"/>
      </rPr>
      <t>Passenger transport boardings per resident per annum.</t>
    </r>
  </si>
  <si>
    <r>
      <rPr>
        <b/>
        <sz val="16"/>
        <rFont val="Arial"/>
        <family val="2"/>
      </rPr>
      <t>Road safety</t>
    </r>
    <r>
      <rPr>
        <sz val="10"/>
        <rFont val="Arial"/>
        <family val="2"/>
      </rPr>
      <t xml:space="preserve">
</t>
    </r>
    <r>
      <rPr>
        <sz val="12"/>
        <rFont val="Arial"/>
        <family val="2"/>
      </rPr>
      <t>Social costs of road injury crashes per capita.</t>
    </r>
  </si>
  <si>
    <r>
      <rPr>
        <b/>
        <sz val="16"/>
        <rFont val="Arial"/>
        <family val="2"/>
      </rPr>
      <t>Social connectedness</t>
    </r>
    <r>
      <rPr>
        <sz val="10"/>
        <rFont val="Arial"/>
        <family val="2"/>
      </rPr>
      <t xml:space="preserve">
</t>
    </r>
    <r>
      <rPr>
        <sz val="12"/>
        <rFont val="Arial"/>
        <family val="2"/>
      </rPr>
      <t>Percentage of people who feel a sense of community in their neighbourhood.</t>
    </r>
  </si>
  <si>
    <r>
      <rPr>
        <b/>
        <sz val="16"/>
        <rFont val="Arial"/>
        <family val="2"/>
      </rPr>
      <t>Te Reo Māori speakers</t>
    </r>
    <r>
      <rPr>
        <sz val="10"/>
        <rFont val="Arial"/>
        <family val="2"/>
      </rPr>
      <t xml:space="preserve">
</t>
    </r>
    <r>
      <rPr>
        <sz val="12"/>
        <rFont val="Arial"/>
        <family val="2"/>
      </rPr>
      <t>Percentage of Te Reo Māori speakers in the total population.</t>
    </r>
  </si>
  <si>
    <r>
      <rPr>
        <b/>
        <sz val="16"/>
        <rFont val="Arial"/>
        <family val="2"/>
      </rPr>
      <t>River water quality</t>
    </r>
    <r>
      <rPr>
        <sz val="10"/>
        <rFont val="Arial"/>
        <family val="2"/>
      </rPr>
      <t xml:space="preserve">
</t>
    </r>
    <r>
      <rPr>
        <sz val="12"/>
        <rFont val="Arial"/>
        <family val="2"/>
      </rPr>
      <t>Percentage of water samples taken from rivers or streams deemed unsatisfactory for ecological health.</t>
    </r>
  </si>
  <si>
    <r>
      <rPr>
        <b/>
        <sz val="16"/>
        <rFont val="Arial"/>
        <family val="2"/>
      </rPr>
      <t>Air quality</t>
    </r>
    <r>
      <rPr>
        <sz val="10"/>
        <rFont val="Arial"/>
        <family val="2"/>
      </rPr>
      <t xml:space="preserve">
</t>
    </r>
    <r>
      <rPr>
        <sz val="12"/>
        <rFont val="Arial"/>
        <family val="2"/>
      </rPr>
      <t>Exceedances per year of the regional guideline for particulate matter.</t>
    </r>
  </si>
  <si>
    <r>
      <rPr>
        <b/>
        <sz val="16"/>
        <rFont val="Arial"/>
        <family val="2"/>
      </rPr>
      <t>Coastal ecosystem health</t>
    </r>
    <r>
      <rPr>
        <sz val="10"/>
        <rFont val="Arial"/>
        <family val="2"/>
      </rPr>
      <t xml:space="preserve">
</t>
    </r>
    <r>
      <rPr>
        <sz val="12"/>
        <rFont val="Arial"/>
        <family val="2"/>
      </rPr>
      <t>Traits Based Index calculated for estuarine monitoring sites.</t>
    </r>
  </si>
  <si>
    <r>
      <rPr>
        <b/>
        <sz val="16"/>
        <rFont val="Arial"/>
        <family val="2"/>
      </rPr>
      <t>Environmental attitudes</t>
    </r>
    <r>
      <rPr>
        <sz val="10"/>
        <rFont val="Arial"/>
        <family val="2"/>
      </rPr>
      <t xml:space="preserve">
</t>
    </r>
    <r>
      <rPr>
        <sz val="12"/>
        <rFont val="Arial"/>
        <family val="2"/>
      </rPr>
      <t>New Ecological Paradigm - Percentage pro- or mid-ecological.</t>
    </r>
  </si>
  <si>
    <r>
      <rPr>
        <b/>
        <sz val="16"/>
        <rFont val="Arial"/>
        <family val="2"/>
      </rPr>
      <t>Indigenous vegetation</t>
    </r>
    <r>
      <rPr>
        <sz val="10"/>
        <rFont val="Arial"/>
        <family val="2"/>
      </rPr>
      <t xml:space="preserve">
</t>
    </r>
    <r>
      <rPr>
        <sz val="12"/>
        <rFont val="Arial"/>
        <family val="2"/>
      </rPr>
      <t>Extent of indigenous vegetation on land.</t>
    </r>
  </si>
  <si>
    <r>
      <rPr>
        <b/>
        <sz val="16"/>
        <rFont val="Arial"/>
        <family val="2"/>
      </rPr>
      <t>Recycling</t>
    </r>
    <r>
      <rPr>
        <sz val="10"/>
        <rFont val="Arial"/>
        <family val="2"/>
      </rPr>
      <t xml:space="preserve">
</t>
    </r>
    <r>
      <rPr>
        <sz val="12"/>
        <rFont val="Arial"/>
        <family val="2"/>
      </rPr>
      <t>Self-reported prevalence of household recycling.</t>
    </r>
  </si>
  <si>
    <r>
      <rPr>
        <b/>
        <sz val="16"/>
        <rFont val="Arial"/>
        <family val="2"/>
      </rPr>
      <t>Soil quality</t>
    </r>
    <r>
      <rPr>
        <sz val="10"/>
        <rFont val="Arial"/>
        <family val="2"/>
      </rPr>
      <t xml:space="preserve">
</t>
    </r>
    <r>
      <rPr>
        <sz val="12"/>
        <rFont val="Arial"/>
        <family val="2"/>
      </rPr>
      <t>Percentage of soil monitoring sites meeting at least five soil quality targets.</t>
    </r>
  </si>
  <si>
    <r>
      <rPr>
        <b/>
        <sz val="16"/>
        <rFont val="Arial"/>
        <family val="2"/>
      </rPr>
      <t>Waste</t>
    </r>
    <r>
      <rPr>
        <sz val="10"/>
        <rFont val="Arial"/>
        <family val="2"/>
      </rPr>
      <t xml:space="preserve">
</t>
    </r>
    <r>
      <rPr>
        <sz val="12"/>
        <rFont val="Arial"/>
        <family val="2"/>
      </rPr>
      <t>Tonnage of waste to landfill per annum.</t>
    </r>
  </si>
  <si>
    <t>Order</t>
  </si>
  <si>
    <t>2017-19</t>
  </si>
  <si>
    <t>Wellbeing Index</t>
  </si>
  <si>
    <t>Colour scheme</t>
  </si>
  <si>
    <t>R</t>
  </si>
  <si>
    <t>G</t>
  </si>
  <si>
    <t>B</t>
  </si>
  <si>
    <t>Economy</t>
  </si>
  <si>
    <t>Mid blue</t>
  </si>
  <si>
    <t>Dark blue</t>
  </si>
  <si>
    <t>Light blue</t>
  </si>
  <si>
    <t>Society</t>
  </si>
  <si>
    <t>Dark purple</t>
  </si>
  <si>
    <t>Mid purple</t>
  </si>
  <si>
    <t>Light purple</t>
  </si>
  <si>
    <t>Environment</t>
  </si>
  <si>
    <t>Dark orange</t>
  </si>
  <si>
    <t>Mid orange</t>
  </si>
  <si>
    <t>Light orange</t>
  </si>
  <si>
    <t>Real median weekly household income (Q2 latest year dollars) - Waikato Region.</t>
  </si>
  <si>
    <t>Percentage of school leavers with NCEA level 2 or above - Waikato Region.</t>
  </si>
  <si>
    <t>Source: Statistics New Zealand</t>
  </si>
  <si>
    <t>Regional greenhouse gas emissions (WRC)</t>
  </si>
  <si>
    <t>Regional and national figures are not comparable due to differing region size, population density, natural features etc</t>
  </si>
  <si>
    <t>2020/21</t>
  </si>
  <si>
    <t>2017-2021</t>
  </si>
  <si>
    <t>Waste to class 1 landfill (tonnes)</t>
  </si>
  <si>
    <t>2022 Quality of Life Survey 8 city average</t>
  </si>
  <si>
    <t>pending</t>
  </si>
  <si>
    <t>NZ Proxy = 2022 Quality of Life Survey 8-cities average</t>
  </si>
  <si>
    <t>Urban and rural residential area on Highly Productive Land by time step (ha)</t>
  </si>
  <si>
    <t>Urban</t>
  </si>
  <si>
    <t>Residential expansion onto highly productive land</t>
  </si>
  <si>
    <t>Dashboard page 1</t>
  </si>
  <si>
    <t>Dashboard page 2</t>
  </si>
  <si>
    <t>Bar graph mock-up</t>
  </si>
  <si>
    <r>
      <rPr>
        <b/>
        <sz val="16"/>
        <rFont val="Arial"/>
        <family val="2"/>
      </rPr>
      <t>Residential expansion</t>
    </r>
    <r>
      <rPr>
        <sz val="10"/>
        <rFont val="Arial"/>
        <family val="2"/>
      </rPr>
      <t xml:space="preserve">
</t>
    </r>
    <r>
      <rPr>
        <sz val="12"/>
        <rFont val="Arial"/>
        <family val="2"/>
      </rPr>
      <t>Area of highly productive land in urban and rural residential use.</t>
    </r>
  </si>
  <si>
    <t>Residential expansion</t>
  </si>
  <si>
    <t>WPI Progress Circle long-term</t>
  </si>
  <si>
    <t>WPI Progress Circle short-term</t>
  </si>
  <si>
    <t>Difference</t>
  </si>
  <si>
    <t>Real value of new dwelling units authorised (Annual - Dec) - Waikato Region.</t>
  </si>
  <si>
    <t>Residential area on highly productive land (LUC 1-3) by time step (ha)</t>
  </si>
  <si>
    <t>Annual - Dec</t>
  </si>
  <si>
    <t>Waikato region greenhouse gas emissions (Mt CO2 equivalent).  Extrapolation is flat, based on earliest or latest estimate.</t>
  </si>
  <si>
    <t>Source: Statistics New Zealand InfoShare database, RBNZ GDP deflator and SNZ population estimates</t>
  </si>
  <si>
    <t>MSD Jobseeker Work Ready Support (quarterly) (MSD)</t>
  </si>
  <si>
    <t>Million tonnes CO2 equivalent</t>
  </si>
  <si>
    <t>2021/22</t>
  </si>
  <si>
    <t>Ratio of housing costs to household disposable income by HES region - 'Rest of the North Island' if no Waikato region data.</t>
  </si>
  <si>
    <t>2018-2022</t>
  </si>
  <si>
    <t>CAGR 2006-22</t>
  </si>
  <si>
    <t>WPI Progress Circle - Waikato Region percentage change since 2018</t>
  </si>
  <si>
    <t>Tonnage of kerbside recyclables</t>
  </si>
  <si>
    <t>Personal environmental actions</t>
  </si>
  <si>
    <t>Personal environmental actions - TA level</t>
  </si>
  <si>
    <t>The Waikato Progress Indicators (WPI) use ‘circles of wellbeing’, a new approach to illustrating progress in the Waikato region. This enables us to visually display information about many indicators in a single diagram.</t>
  </si>
  <si>
    <t>Note: Symbols and graphs below are updated automatically from data in other tabs, with the exception of colours for up/down arrows and spoke-ends which are done manually. This page has been set to print to A4 size and portrait layout.</t>
  </si>
  <si>
    <t>Note: Symbols and graphs below are updated automatically from data in other tabs, with the exception of colours which are done manually. This page has been set to print to A4 size and portrait orientation.</t>
  </si>
  <si>
    <t>Average voter turnout in local and regional council elections (%)</t>
  </si>
  <si>
    <t>CAGR 2018-22</t>
  </si>
  <si>
    <r>
      <rPr>
        <b/>
        <sz val="16"/>
        <rFont val="Arial"/>
        <family val="2"/>
      </rPr>
      <t>Voter turnout</t>
    </r>
    <r>
      <rPr>
        <sz val="10"/>
        <rFont val="Arial"/>
        <family val="2"/>
      </rPr>
      <t xml:space="preserve">
</t>
    </r>
    <r>
      <rPr>
        <sz val="12"/>
        <rFont val="Arial"/>
        <family val="2"/>
      </rPr>
      <t>Average voter turnout in local and regional council elections.</t>
    </r>
  </si>
  <si>
    <t>Average voter turnout in local and regional council elections.  Imputation is straight-line trend.</t>
  </si>
  <si>
    <t>2022/23</t>
  </si>
  <si>
    <t>2022 school leaver data</t>
  </si>
  <si>
    <t>Note: Regional figures (except for the Auckland, Wellington and Canterbury regions) are not available for 2022 due to data quality issues.</t>
  </si>
  <si>
    <t>2023 HES</t>
  </si>
  <si>
    <t>Real GDP per person (2023 prices)</t>
  </si>
  <si>
    <t>Employment rate (percent of working-age population) (Dec)</t>
  </si>
  <si>
    <t>HLFS Dec qtr results</t>
  </si>
  <si>
    <t>Labour force participation rate for Waikato Region and New Zealand</t>
  </si>
  <si>
    <t>Labour underutilisation rate for Waikato Region and New Zealand</t>
  </si>
  <si>
    <t>Unemployment rate for Waikato Region and New Zealand</t>
  </si>
  <si>
    <t>Real median weekly household income (2023 dollars)</t>
  </si>
  <si>
    <t>Social cost of road injury crashes per person (June 2023 dollars) ($)</t>
  </si>
  <si>
    <t>Source: Ministry of Transport / Statistics New Zealand</t>
  </si>
  <si>
    <t>2019-2022</t>
  </si>
  <si>
    <t>Scorecard 2024</t>
  </si>
  <si>
    <t>This scorecard compares latest data with baseline results for each indicator (2006 - 2007). For each of the 32 indicators, results are shown as improving trends, worsening trends or no significant change over the last 16 years. The indicators are grouped by wellbeing theme - economic, social and environmental wellbeing. For further information refer to www.waikatoregion.govt.nz/community/waikato-progress-indicators-tupuranga-waikato/</t>
  </si>
  <si>
    <r>
      <rPr>
        <b/>
        <sz val="14"/>
        <rFont val="Arial"/>
        <family val="2"/>
      </rPr>
      <t>Comparison of Waikato with average New Zealand</t>
    </r>
    <r>
      <rPr>
        <sz val="14"/>
        <rFont val="Arial"/>
        <family val="2"/>
      </rPr>
      <t xml:space="preserve">
The circle to the left compares the current state of selected WPI indicators for the </t>
    </r>
    <r>
      <rPr>
        <b/>
        <sz val="14"/>
        <rFont val="Arial"/>
        <family val="2"/>
      </rPr>
      <t>Waikato region versus New Zealand</t>
    </r>
    <r>
      <rPr>
        <sz val="14"/>
        <rFont val="Arial"/>
        <family val="2"/>
      </rPr>
      <t xml:space="preserve"> (latest results available). Where a spoke extends outside the circle it means the Waikato region performs better than New Zealand (green). Where the spoke falls within the circle, the Waikato region performs worse than New Zealand (red). Where a spoke falls approximately on the circle this indicates the Waikato region performs about the same as New Zealand (grey). For all WPI indicators not shown, directly comparable national results are not available.
The diagram shows that compared to the national average, the Waikato region:
•	has a relatively high percentage of Te Reo Māori speakers, high frequency of physical activity, high levels of community pride and social connectedness, community engagement (perception of public's influence on Council decision making), and slightly higher level of life satisfaction (overall quality of life), but
•	is behind the national average on a range of indicators, including road safety, crime, recycling, GDP per person and household incomes.</t>
    </r>
  </si>
  <si>
    <t>Note: The 2023 index value is provisional only as at Jue 2024, as it includes imputed 2023 data for several indicators</t>
  </si>
  <si>
    <t>2002-19</t>
  </si>
  <si>
    <t>8 July 2024</t>
  </si>
  <si>
    <r>
      <rPr>
        <b/>
        <sz val="14"/>
        <rFont val="Arial"/>
        <family val="2"/>
      </rPr>
      <t xml:space="preserve">Long-term trends (2006-07 to latest available data)
</t>
    </r>
    <r>
      <rPr>
        <sz val="14"/>
        <rFont val="Arial"/>
        <family val="2"/>
      </rPr>
      <t xml:space="preserve">
The circle to the left plots the overall change for the Waikato region for the period </t>
    </r>
    <r>
      <rPr>
        <b/>
        <sz val="14"/>
        <rFont val="Arial"/>
        <family val="2"/>
      </rPr>
      <t>2006-07 to latest available data</t>
    </r>
    <r>
      <rPr>
        <sz val="14"/>
        <rFont val="Arial"/>
        <family val="2"/>
      </rPr>
      <t xml:space="preserve"> for all WPI indicators. Where a spoke extends outside the circle it means an improvement (green). Where the spoke falls within, it represents a worsening trend (red). No significant change is indicated by when a spoke is approximately on the circle (grey).
The most notable</t>
    </r>
    <r>
      <rPr>
        <b/>
        <sz val="14"/>
        <rFont val="Arial"/>
        <family val="2"/>
      </rPr>
      <t xml:space="preserve"> positive trends</t>
    </r>
    <r>
      <rPr>
        <sz val="14"/>
        <rFont val="Arial"/>
        <family val="2"/>
      </rPr>
      <t xml:space="preserve"> over this period are (in declining order) road safety, incomes, regional GDP growth, educational attainment, recycling, perceptions of safety, and life expectancy. 
The largest </t>
    </r>
    <r>
      <rPr>
        <b/>
        <sz val="14"/>
        <rFont val="Arial"/>
        <family val="2"/>
      </rPr>
      <t>negative trends</t>
    </r>
    <r>
      <rPr>
        <sz val="14"/>
        <rFont val="Arial"/>
        <family val="2"/>
      </rPr>
      <t xml:space="preserve"> over this period are (in declining order) poorer perceptions of community engagement, more waste to landfill, higher water use, lower frequency of physical activity, less use of public transport, lower perceptions of cultural respect, and more residential expansion onto highly productive land.</t>
    </r>
  </si>
  <si>
    <r>
      <rPr>
        <b/>
        <sz val="14"/>
        <rFont val="Arial"/>
        <family val="2"/>
      </rPr>
      <t>Short-term trends (2018 to latest available data)</t>
    </r>
    <r>
      <rPr>
        <sz val="14"/>
        <rFont val="Arial"/>
        <family val="2"/>
      </rPr>
      <t xml:space="preserve">
The circle to the left plots the more recent trend for the Waikato region from </t>
    </r>
    <r>
      <rPr>
        <b/>
        <sz val="14"/>
        <rFont val="Arial"/>
        <family val="2"/>
      </rPr>
      <t xml:space="preserve">2018 to the latest available data </t>
    </r>
    <r>
      <rPr>
        <sz val="14"/>
        <rFont val="Arial"/>
        <family val="2"/>
      </rPr>
      <t>using the same approach. Observations from these graphs and supporting WPI information include:
•	Criminal offence data had previously been improving over the longer-term, but since 2018 the Waikato annual regional crime rate has trended upward.
•	Community pride increased slightly between the 2018 and 2022 survey years.
•	Over the longer-term, air quality shows an improvement but for the period 2018 to 2023 there was a general increase in the number of exceedances per year, most likely due to the use of new monitoring instruments giving higher readings. 
•	Educational attainment of school leavers peaked in 2016 and has been relatively stable since then, but declined in 2022.
•	There was an apparent decline in housing affordability in 2023, however this indicator can be highly variable from year to year.</t>
    </r>
  </si>
  <si>
    <t>http://www.waikatoregion.govt.nz/Waikato-Progress-Indicators-Tupuranga-Waikato/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</si>
</sst>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44" formatCode="_-&quot;$&quot;* #,##0.00_-;\-&quot;$&quot;* #,##0.00_-;_-&quot;$&quot;* &quot;-&quot;??_-;_-@_-"/>
    <numFmt numFmtId="43" formatCode="_-* #,##0.00_-;\-* #,##0.00_-;_-* &quot;-&quot;??_-;_-@_-"/>
    <numFmt numFmtId="164" formatCode="0.0%"/>
    <numFmt numFmtId="165" formatCode="0.0"/>
    <numFmt numFmtId="166" formatCode="&quot;$&quot;#,##0"/>
    <numFmt numFmtId="167" formatCode="#,##0.0"/>
    <numFmt numFmtId="168" formatCode="0.000"/>
    <numFmt numFmtId="169" formatCode="?,??0.0;\-?,??0.0"/>
    <numFmt numFmtId="170" formatCode="#,##0.00_ ;\-#,##0.00\ "/>
    <numFmt numFmtId="171" formatCode="[$-C09]dd\-mmm\-yy;@"/>
    <numFmt numFmtId="172" formatCode="#,##0.0000"/>
    <numFmt numFmtId="173" formatCode="[$-C09]dd\-mmmm\-yyyy;@"/>
  </numFmts>
  <fonts count="104">
    <font>
      <sz val="10"/>
      <name val="Arial"/>
    </font>
    <font>
      <sz val="10"/>
      <name val="Arial"/>
      <family val="2"/>
    </font>
    <font>
      <sz val="8"/>
      <name val="Arial"/>
      <family val="2"/>
    </font>
    <font>
      <u/>
      <sz val="10"/>
      <color indexed="12"/>
      <name val="Arial"/>
      <family val="2"/>
    </font>
    <font>
      <b/>
      <sz val="10"/>
      <name val="Arial"/>
      <family val="2"/>
    </font>
    <font>
      <sz val="11"/>
      <name val="Arial"/>
      <family val="2"/>
    </font>
    <font>
      <sz val="8"/>
      <name val="Arial Mäori"/>
      <family val="2"/>
    </font>
    <font>
      <sz val="10"/>
      <name val="Arial Mäori"/>
      <family val="2"/>
    </font>
    <font>
      <sz val="10"/>
      <name val="Arial"/>
      <family val="2"/>
    </font>
    <font>
      <sz val="8"/>
      <name val="Arial"/>
      <family val="2"/>
    </font>
    <font>
      <i/>
      <sz val="10"/>
      <name val="Arial"/>
      <family val="2"/>
    </font>
    <font>
      <b/>
      <sz val="10"/>
      <name val="Arial"/>
      <family val="2"/>
    </font>
    <font>
      <sz val="10"/>
      <color indexed="8"/>
      <name val="Arial"/>
      <family val="2"/>
    </font>
    <font>
      <sz val="10"/>
      <name val="Arial"/>
      <family val="2"/>
    </font>
    <font>
      <sz val="10"/>
      <color indexed="8"/>
      <name val="Arial Mäori"/>
      <family val="2"/>
    </font>
    <font>
      <b/>
      <sz val="11"/>
      <name val="Arial Mäori"/>
      <family val="2"/>
    </font>
    <font>
      <i/>
      <sz val="11"/>
      <name val="Arial Mäori"/>
      <family val="2"/>
    </font>
    <font>
      <b/>
      <sz val="8"/>
      <name val="Arial"/>
      <family val="2"/>
    </font>
    <font>
      <sz val="18"/>
      <name val="Arial"/>
      <family val="2"/>
    </font>
    <font>
      <u/>
      <sz val="10"/>
      <color indexed="12"/>
      <name val="Arial"/>
      <family val="2"/>
    </font>
    <font>
      <b/>
      <sz val="11"/>
      <color indexed="8"/>
      <name val="Calibri"/>
      <family val="2"/>
    </font>
    <font>
      <b/>
      <i/>
      <sz val="10"/>
      <name val="Arial"/>
      <family val="2"/>
    </font>
    <font>
      <sz val="11"/>
      <color indexed="62"/>
      <name val="Calibri"/>
      <family val="2"/>
    </font>
    <font>
      <b/>
      <sz val="12"/>
      <name val="Times New Roman"/>
      <family val="1"/>
    </font>
    <font>
      <sz val="10"/>
      <name val="Times New Roman"/>
      <family val="1"/>
    </font>
    <font>
      <b/>
      <sz val="16"/>
      <name val="Arial"/>
      <family val="2"/>
    </font>
    <font>
      <sz val="11"/>
      <color indexed="10"/>
      <name val="Calibri"/>
      <family val="2"/>
    </font>
    <font>
      <sz val="9"/>
      <name val="Arial"/>
      <family val="2"/>
    </font>
    <font>
      <sz val="8"/>
      <color indexed="8"/>
      <name val="Arial Mäori"/>
      <family val="2"/>
    </font>
    <font>
      <b/>
      <sz val="10"/>
      <color indexed="63"/>
      <name val="Arial"/>
      <family val="2"/>
    </font>
    <font>
      <sz val="10"/>
      <color indexed="63"/>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9"/>
      <name val="Times New Roman"/>
      <family val="1"/>
    </font>
    <font>
      <sz val="9"/>
      <name val="Times New Roman"/>
      <family val="1"/>
    </font>
    <font>
      <u/>
      <sz val="10"/>
      <color indexed="12"/>
      <name val="Times New Roman"/>
      <family val="1"/>
    </font>
    <font>
      <sz val="10"/>
      <name val="MS Sans Serif"/>
      <family val="2"/>
    </font>
    <font>
      <sz val="8"/>
      <name val="Helvetica"/>
      <family val="2"/>
    </font>
    <font>
      <b/>
      <sz val="14"/>
      <name val="Arial"/>
      <family val="2"/>
    </font>
    <font>
      <sz val="10"/>
      <name val="Wingdings"/>
      <charset val="2"/>
    </font>
    <font>
      <sz val="10"/>
      <name val="Arial"/>
      <family val="2"/>
    </font>
    <font>
      <sz val="10"/>
      <name val="Arial"/>
      <family val="2"/>
    </font>
    <font>
      <sz val="10"/>
      <name val="Arial"/>
      <family val="2"/>
    </font>
    <font>
      <sz val="12"/>
      <name val="Arial"/>
      <family val="2"/>
    </font>
    <font>
      <sz val="14"/>
      <name val="Arial"/>
      <family val="2"/>
    </font>
    <font>
      <sz val="28"/>
      <name val="Wingdings"/>
      <charset val="2"/>
    </font>
    <font>
      <b/>
      <sz val="12"/>
      <name val="Arial"/>
      <family val="2"/>
    </font>
    <font>
      <sz val="28"/>
      <color indexed="17"/>
      <name val="Wingdings"/>
      <charset val="2"/>
    </font>
    <font>
      <sz val="28"/>
      <color indexed="10"/>
      <name val="Wingdings"/>
      <charset val="2"/>
    </font>
    <font>
      <sz val="9"/>
      <color indexed="81"/>
      <name val="Tahoma"/>
      <family val="2"/>
    </font>
    <font>
      <b/>
      <sz val="9"/>
      <color indexed="81"/>
      <name val="Tahoma"/>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Mäori"/>
      <family val="2"/>
    </font>
    <font>
      <sz val="11"/>
      <color theme="1"/>
      <name val="Arial"/>
      <family val="2"/>
    </font>
    <font>
      <b/>
      <sz val="11"/>
      <color rgb="FF3F3F3F"/>
      <name val="Calibri"/>
      <family val="2"/>
      <scheme val="minor"/>
    </font>
    <font>
      <b/>
      <sz val="10"/>
      <color theme="0"/>
      <name val="Arial"/>
      <family val="2"/>
    </font>
    <font>
      <b/>
      <sz val="10"/>
      <color theme="1"/>
      <name val="Arial"/>
      <family val="2"/>
    </font>
    <font>
      <sz val="18"/>
      <color theme="3"/>
      <name val="Cambria"/>
      <family val="2"/>
      <scheme val="major"/>
    </font>
    <font>
      <b/>
      <sz val="11"/>
      <color theme="1"/>
      <name val="Calibri"/>
      <family val="2"/>
      <scheme val="minor"/>
    </font>
    <font>
      <sz val="11"/>
      <color rgb="FFFF0000"/>
      <name val="Calibri"/>
      <family val="2"/>
      <scheme val="minor"/>
    </font>
    <font>
      <sz val="10"/>
      <color rgb="FFFF0000"/>
      <name val="Arial"/>
      <family val="2"/>
    </font>
    <font>
      <sz val="48"/>
      <color rgb="FFFF0000"/>
      <name val="Wingdings"/>
      <charset val="2"/>
    </font>
    <font>
      <sz val="48"/>
      <color rgb="FF00B050"/>
      <name val="Wingdings"/>
      <charset val="2"/>
    </font>
    <font>
      <sz val="48"/>
      <color theme="1"/>
      <name val="Wingdings"/>
      <charset val="2"/>
    </font>
    <font>
      <sz val="11"/>
      <color rgb="FF000000"/>
      <name val="Calibri"/>
      <family val="2"/>
    </font>
    <font>
      <b/>
      <sz val="11"/>
      <color rgb="FF000000"/>
      <name val="Calibri"/>
      <family val="2"/>
    </font>
    <font>
      <sz val="9"/>
      <color theme="1"/>
      <name val="Calibri"/>
      <family val="2"/>
      <scheme val="minor"/>
    </font>
    <font>
      <b/>
      <sz val="9"/>
      <color theme="1"/>
      <name val="Calibri"/>
      <family val="2"/>
      <scheme val="minor"/>
    </font>
    <font>
      <sz val="10"/>
      <color theme="0"/>
      <name val="Arial"/>
      <family val="2"/>
    </font>
    <font>
      <sz val="36"/>
      <color theme="0"/>
      <name val="Arial"/>
      <family val="2"/>
    </font>
    <font>
      <sz val="28"/>
      <color theme="0"/>
      <name val="Arial"/>
      <family val="2"/>
    </font>
    <font>
      <sz val="16"/>
      <color theme="0"/>
      <name val="Arial"/>
      <family val="2"/>
    </font>
    <font>
      <b/>
      <sz val="72"/>
      <color theme="0"/>
      <name val="Arial"/>
      <family val="2"/>
    </font>
    <font>
      <i/>
      <sz val="10"/>
      <color theme="0"/>
      <name val="Arial"/>
      <family val="2"/>
    </font>
    <font>
      <b/>
      <sz val="16"/>
      <color rgb="FF00FFCC"/>
      <name val="Arial"/>
      <family val="2"/>
    </font>
    <font>
      <b/>
      <sz val="10"/>
      <color rgb="FFFF0000"/>
      <name val="Arial"/>
      <family val="2"/>
    </font>
    <font>
      <sz val="48"/>
      <name val="Wingdings"/>
      <charset val="2"/>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43"/>
      </patternFill>
    </fill>
    <fill>
      <patternFill patternType="solid">
        <fgColor indexed="55"/>
        <bgColor indexed="64"/>
      </patternFill>
    </fill>
    <fill>
      <patternFill patternType="solid">
        <fgColor indexed="26"/>
      </patternFill>
    </fill>
    <fill>
      <patternFill patternType="darkTrellis"/>
    </fill>
    <fill>
      <patternFill patternType="solid">
        <fgColor indexed="22"/>
        <bgColor indexed="64"/>
      </patternFill>
    </fill>
    <fill>
      <patternFill patternType="solid">
        <fgColor indexed="17"/>
        <bgColor indexed="64"/>
      </patternFill>
    </fill>
    <fill>
      <patternFill patternType="solid">
        <fgColor indexed="37"/>
        <bgColor indexed="64"/>
      </patternFill>
    </fill>
    <fill>
      <patternFill patternType="solid">
        <fgColor indexed="46"/>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1" tint="0.24994659260841701"/>
        <bgColor indexed="64"/>
      </patternFill>
    </fill>
    <fill>
      <patternFill patternType="solid">
        <fgColor rgb="FFDDDDDD"/>
        <bgColor indexed="64"/>
      </patternFill>
    </fill>
    <fill>
      <patternFill patternType="solid">
        <fgColor rgb="FFFFFF00"/>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D9D9D9"/>
        <bgColor indexed="64"/>
      </patternFill>
    </fill>
    <fill>
      <patternFill patternType="solid">
        <fgColor rgb="FF00FFCC"/>
        <bgColor indexed="64"/>
      </patternFill>
    </fill>
    <fill>
      <patternFill patternType="solid">
        <fgColor rgb="FF8CD0FF"/>
        <bgColor indexed="64"/>
      </patternFill>
    </fill>
    <fill>
      <patternFill patternType="solid">
        <fgColor rgb="FFA682BC"/>
        <bgColor indexed="64"/>
      </patternFill>
    </fill>
    <fill>
      <patternFill patternType="solid">
        <fgColor rgb="FFFFB485"/>
        <bgColor indexed="64"/>
      </patternFill>
    </fill>
    <fill>
      <patternFill patternType="solid">
        <fgColor them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9"/>
      </left>
      <right style="medium">
        <color indexed="9"/>
      </right>
      <top style="medium">
        <color indexed="9"/>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0" tint="-0.499984740745262"/>
      </top>
      <bottom style="thin">
        <color theme="0" tint="-0.499984740745262"/>
      </bottom>
      <diagonal/>
    </border>
    <border>
      <left/>
      <right/>
      <top style="thin">
        <color theme="1" tint="0.499984740745262"/>
      </top>
      <bottom/>
      <diagonal/>
    </border>
    <border>
      <left/>
      <right/>
      <top style="thin">
        <color theme="4"/>
      </top>
      <bottom style="double">
        <color theme="4"/>
      </bottom>
      <diagonal/>
    </border>
    <border>
      <left style="thin">
        <color auto="1"/>
      </left>
      <right/>
      <top style="thin">
        <color auto="1"/>
      </top>
      <bottom style="thin">
        <color auto="1"/>
      </bottom>
      <diagonal/>
    </border>
  </borders>
  <cellStyleXfs count="329">
    <xf numFmtId="0" fontId="0" fillId="0" borderId="0"/>
    <xf numFmtId="0" fontId="31" fillId="2" borderId="0" applyNumberFormat="0" applyBorder="0" applyAlignment="0" applyProtection="0"/>
    <xf numFmtId="0" fontId="65" fillId="32" borderId="0" applyNumberFormat="0" applyBorder="0" applyAlignment="0" applyProtection="0"/>
    <xf numFmtId="0" fontId="31" fillId="3" borderId="0" applyNumberFormat="0" applyBorder="0" applyAlignment="0" applyProtection="0"/>
    <xf numFmtId="0" fontId="65" fillId="33" borderId="0" applyNumberFormat="0" applyBorder="0" applyAlignment="0" applyProtection="0"/>
    <xf numFmtId="0" fontId="31" fillId="4" borderId="0" applyNumberFormat="0" applyBorder="0" applyAlignment="0" applyProtection="0"/>
    <xf numFmtId="0" fontId="65" fillId="34" borderId="0" applyNumberFormat="0" applyBorder="0" applyAlignment="0" applyProtection="0"/>
    <xf numFmtId="0" fontId="31" fillId="5" borderId="0" applyNumberFormat="0" applyBorder="0" applyAlignment="0" applyProtection="0"/>
    <xf numFmtId="0" fontId="65" fillId="35" borderId="0" applyNumberFormat="0" applyBorder="0" applyAlignment="0" applyProtection="0"/>
    <xf numFmtId="0" fontId="31" fillId="6" borderId="0" applyNumberFormat="0" applyBorder="0" applyAlignment="0" applyProtection="0"/>
    <xf numFmtId="0" fontId="65" fillId="36" borderId="0" applyNumberFormat="0" applyBorder="0" applyAlignment="0" applyProtection="0"/>
    <xf numFmtId="0" fontId="31" fillId="7" borderId="0" applyNumberFormat="0" applyBorder="0" applyAlignment="0" applyProtection="0"/>
    <xf numFmtId="0" fontId="65" fillId="37" borderId="0" applyNumberFormat="0" applyBorder="0" applyAlignment="0" applyProtection="0"/>
    <xf numFmtId="49" fontId="46" fillId="0" borderId="1" applyNumberFormat="0" applyFont="0" applyFill="0" applyBorder="0" applyProtection="0">
      <alignment horizontal="left" vertical="center" indent="2"/>
    </xf>
    <xf numFmtId="0" fontId="31" fillId="8" borderId="0" applyNumberFormat="0" applyBorder="0" applyAlignment="0" applyProtection="0"/>
    <xf numFmtId="0" fontId="65" fillId="38" borderId="0" applyNumberFormat="0" applyBorder="0" applyAlignment="0" applyProtection="0"/>
    <xf numFmtId="0" fontId="31" fillId="9" borderId="0" applyNumberFormat="0" applyBorder="0" applyAlignment="0" applyProtection="0"/>
    <xf numFmtId="0" fontId="65" fillId="39" borderId="0" applyNumberFormat="0" applyBorder="0" applyAlignment="0" applyProtection="0"/>
    <xf numFmtId="0" fontId="31" fillId="10" borderId="0" applyNumberFormat="0" applyBorder="0" applyAlignment="0" applyProtection="0"/>
    <xf numFmtId="0" fontId="65" fillId="40" borderId="0" applyNumberFormat="0" applyBorder="0" applyAlignment="0" applyProtection="0"/>
    <xf numFmtId="0" fontId="31" fillId="5" borderId="0" applyNumberFormat="0" applyBorder="0" applyAlignment="0" applyProtection="0"/>
    <xf numFmtId="0" fontId="65" fillId="41" borderId="0" applyNumberFormat="0" applyBorder="0" applyAlignment="0" applyProtection="0"/>
    <xf numFmtId="0" fontId="31" fillId="8" borderId="0" applyNumberFormat="0" applyBorder="0" applyAlignment="0" applyProtection="0"/>
    <xf numFmtId="0" fontId="65" fillId="42" borderId="0" applyNumberFormat="0" applyBorder="0" applyAlignment="0" applyProtection="0"/>
    <xf numFmtId="0" fontId="31" fillId="11" borderId="0" applyNumberFormat="0" applyBorder="0" applyAlignment="0" applyProtection="0"/>
    <xf numFmtId="0" fontId="65" fillId="43" borderId="0" applyNumberFormat="0" applyBorder="0" applyAlignment="0" applyProtection="0"/>
    <xf numFmtId="49" fontId="46" fillId="0" borderId="2" applyNumberFormat="0" applyFont="0" applyFill="0" applyBorder="0" applyProtection="0">
      <alignment horizontal="left" vertical="center" indent="5"/>
    </xf>
    <xf numFmtId="0" fontId="32" fillId="12" borderId="0" applyNumberFormat="0" applyBorder="0" applyAlignment="0" applyProtection="0"/>
    <xf numFmtId="0" fontId="66" fillId="44" borderId="0" applyNumberFormat="0" applyBorder="0" applyAlignment="0" applyProtection="0"/>
    <xf numFmtId="0" fontId="32" fillId="9" borderId="0" applyNumberFormat="0" applyBorder="0" applyAlignment="0" applyProtection="0"/>
    <xf numFmtId="0" fontId="66" fillId="45" borderId="0" applyNumberFormat="0" applyBorder="0" applyAlignment="0" applyProtection="0"/>
    <xf numFmtId="0" fontId="32" fillId="10" borderId="0" applyNumberFormat="0" applyBorder="0" applyAlignment="0" applyProtection="0"/>
    <xf numFmtId="0" fontId="66" fillId="46" borderId="0" applyNumberFormat="0" applyBorder="0" applyAlignment="0" applyProtection="0"/>
    <xf numFmtId="0" fontId="32" fillId="13" borderId="0" applyNumberFormat="0" applyBorder="0" applyAlignment="0" applyProtection="0"/>
    <xf numFmtId="0" fontId="66" fillId="47" borderId="0" applyNumberFormat="0" applyBorder="0" applyAlignment="0" applyProtection="0"/>
    <xf numFmtId="0" fontId="32" fillId="14" borderId="0" applyNumberFormat="0" applyBorder="0" applyAlignment="0" applyProtection="0"/>
    <xf numFmtId="0" fontId="66" fillId="48" borderId="0" applyNumberFormat="0" applyBorder="0" applyAlignment="0" applyProtection="0"/>
    <xf numFmtId="0" fontId="32" fillId="15" borderId="0" applyNumberFormat="0" applyBorder="0" applyAlignment="0" applyProtection="0"/>
    <xf numFmtId="0" fontId="66" fillId="49" borderId="0" applyNumberFormat="0" applyBorder="0" applyAlignment="0" applyProtection="0"/>
    <xf numFmtId="0" fontId="32" fillId="16" borderId="0" applyNumberFormat="0" applyBorder="0" applyAlignment="0" applyProtection="0"/>
    <xf numFmtId="0" fontId="66" fillId="50" borderId="0" applyNumberFormat="0" applyBorder="0" applyAlignment="0" applyProtection="0"/>
    <xf numFmtId="0" fontId="32" fillId="17" borderId="0" applyNumberFormat="0" applyBorder="0" applyAlignment="0" applyProtection="0"/>
    <xf numFmtId="0" fontId="66" fillId="51" borderId="0" applyNumberFormat="0" applyBorder="0" applyAlignment="0" applyProtection="0"/>
    <xf numFmtId="0" fontId="32" fillId="18" borderId="0" applyNumberFormat="0" applyBorder="0" applyAlignment="0" applyProtection="0"/>
    <xf numFmtId="0" fontId="66" fillId="52" borderId="0" applyNumberFormat="0" applyBorder="0" applyAlignment="0" applyProtection="0"/>
    <xf numFmtId="0" fontId="32" fillId="13" borderId="0" applyNumberFormat="0" applyBorder="0" applyAlignment="0" applyProtection="0"/>
    <xf numFmtId="0" fontId="66" fillId="53" borderId="0" applyNumberFormat="0" applyBorder="0" applyAlignment="0" applyProtection="0"/>
    <xf numFmtId="0" fontId="32" fillId="14" borderId="0" applyNumberFormat="0" applyBorder="0" applyAlignment="0" applyProtection="0"/>
    <xf numFmtId="0" fontId="66" fillId="54" borderId="0" applyNumberFormat="0" applyBorder="0" applyAlignment="0" applyProtection="0"/>
    <xf numFmtId="0" fontId="32" fillId="19" borderId="0" applyNumberFormat="0" applyBorder="0" applyAlignment="0" applyProtection="0"/>
    <xf numFmtId="0" fontId="66" fillId="55" borderId="0" applyNumberFormat="0" applyBorder="0" applyAlignment="0" applyProtection="0"/>
    <xf numFmtId="0" fontId="33" fillId="3" borderId="0" applyNumberFormat="0" applyBorder="0" applyAlignment="0" applyProtection="0"/>
    <xf numFmtId="0" fontId="67" fillId="56" borderId="0" applyNumberFormat="0" applyBorder="0" applyAlignment="0" applyProtection="0"/>
    <xf numFmtId="4" fontId="45" fillId="0" borderId="3" applyFill="0" applyBorder="0" applyProtection="0">
      <alignment horizontal="right" vertical="center"/>
    </xf>
    <xf numFmtId="49" fontId="2" fillId="0" borderId="0">
      <alignment horizontal="center" wrapText="1"/>
    </xf>
    <xf numFmtId="49" fontId="9" fillId="0" borderId="0">
      <alignment horizontal="center" wrapText="1"/>
    </xf>
    <xf numFmtId="49" fontId="2" fillId="0" borderId="0">
      <alignment horizontal="center" wrapText="1"/>
    </xf>
    <xf numFmtId="0" fontId="34" fillId="20" borderId="4" applyNumberFormat="0" applyAlignment="0" applyProtection="0"/>
    <xf numFmtId="0" fontId="68" fillId="57" borderId="23" applyNumberFormat="0" applyAlignment="0" applyProtection="0"/>
    <xf numFmtId="0" fontId="35" fillId="21" borderId="5" applyNumberFormat="0" applyAlignment="0" applyProtection="0"/>
    <xf numFmtId="0" fontId="69" fillId="58" borderId="24" applyNumberFormat="0" applyAlignment="0" applyProtection="0"/>
    <xf numFmtId="0" fontId="6" fillId="0" borderId="0">
      <alignment horizontal="center" wrapText="1"/>
    </xf>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4" fontId="1" fillId="0" borderId="0" applyFont="0" applyFill="0" applyBorder="0" applyAlignment="0" applyProtection="0"/>
    <xf numFmtId="3" fontId="6" fillId="0" borderId="0"/>
    <xf numFmtId="0" fontId="36" fillId="0" borderId="0" applyNumberFormat="0" applyFill="0" applyBorder="0" applyAlignment="0" applyProtection="0"/>
    <xf numFmtId="0" fontId="70" fillId="0" borderId="0" applyNumberFormat="0" applyFill="0" applyBorder="0" applyAlignment="0" applyProtection="0"/>
    <xf numFmtId="0" fontId="37" fillId="4" borderId="0" applyNumberFormat="0" applyBorder="0" applyAlignment="0" applyProtection="0"/>
    <xf numFmtId="0" fontId="71" fillId="59" borderId="0" applyNumberFormat="0" applyBorder="0" applyAlignment="0" applyProtection="0"/>
    <xf numFmtId="49" fontId="15" fillId="0" borderId="0">
      <alignment horizontal="center"/>
    </xf>
    <xf numFmtId="0" fontId="16" fillId="0" borderId="0">
      <alignment horizontal="center"/>
    </xf>
    <xf numFmtId="0" fontId="38" fillId="0" borderId="6" applyNumberFormat="0" applyFill="0" applyAlignment="0" applyProtection="0"/>
    <xf numFmtId="0" fontId="72" fillId="0" borderId="25" applyNumberFormat="0" applyFill="0" applyAlignment="0" applyProtection="0"/>
    <xf numFmtId="0" fontId="39" fillId="0" borderId="7" applyNumberFormat="0" applyFill="0" applyAlignment="0" applyProtection="0"/>
    <xf numFmtId="0" fontId="73" fillId="0" borderId="26" applyNumberFormat="0" applyFill="0" applyAlignment="0" applyProtection="0"/>
    <xf numFmtId="0" fontId="40" fillId="0" borderId="8" applyNumberFormat="0" applyFill="0" applyAlignment="0" applyProtection="0"/>
    <xf numFmtId="0" fontId="74" fillId="0" borderId="27" applyNumberFormat="0" applyFill="0" applyAlignment="0" applyProtection="0"/>
    <xf numFmtId="0" fontId="40" fillId="0" borderId="0" applyNumberFormat="0" applyFill="0" applyBorder="0" applyAlignment="0" applyProtection="0"/>
    <xf numFmtId="0" fontId="74" fillId="0" borderId="0" applyNumberFormat="0" applyFill="0" applyBorder="0" applyAlignment="0" applyProtection="0"/>
    <xf numFmtId="0" fontId="23" fillId="0" borderId="0" applyNumberFormat="0" applyFill="0" applyBorder="0" applyAlignment="0" applyProtection="0"/>
    <xf numFmtId="0" fontId="3" fillId="0" borderId="0" applyNumberFormat="0" applyFill="0" applyBorder="0" applyAlignment="0" applyProtection="0">
      <alignment vertical="top"/>
      <protection locked="0"/>
    </xf>
    <xf numFmtId="0" fontId="19" fillId="0" borderId="0" applyNumberFormat="0" applyFill="0" applyBorder="0" applyAlignment="0" applyProtection="0"/>
    <xf numFmtId="0" fontId="75"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19"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2" fillId="7" borderId="4" applyNumberFormat="0" applyAlignment="0" applyProtection="0"/>
    <xf numFmtId="0" fontId="76" fillId="60" borderId="23" applyNumberFormat="0" applyAlignment="0" applyProtection="0"/>
    <xf numFmtId="0" fontId="8" fillId="22" borderId="1"/>
    <xf numFmtId="0" fontId="41" fillId="0" borderId="9" applyNumberFormat="0" applyFill="0" applyAlignment="0" applyProtection="0"/>
    <xf numFmtId="0" fontId="77" fillId="0" borderId="28" applyNumberFormat="0" applyFill="0" applyAlignment="0" applyProtection="0"/>
    <xf numFmtId="0" fontId="42" fillId="23" borderId="0" applyNumberFormat="0" applyBorder="0" applyAlignment="0" applyProtection="0"/>
    <xf numFmtId="0" fontId="78" fillId="61" borderId="0" applyNumberFormat="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9" fillId="0" borderId="0"/>
    <xf numFmtId="0" fontId="14" fillId="0" borderId="0"/>
    <xf numFmtId="0" fontId="24" fillId="0" borderId="0"/>
    <xf numFmtId="0" fontId="24" fillId="0" borderId="0"/>
    <xf numFmtId="0" fontId="24" fillId="0" borderId="0"/>
    <xf numFmtId="0" fontId="2" fillId="0" borderId="0"/>
    <xf numFmtId="0" fontId="2" fillId="0" borderId="0"/>
    <xf numFmtId="0" fontId="27" fillId="0" borderId="0"/>
    <xf numFmtId="0" fontId="27" fillId="0" borderId="0"/>
    <xf numFmtId="0" fontId="14" fillId="0" borderId="0"/>
    <xf numFmtId="0" fontId="27" fillId="0" borderId="0"/>
    <xf numFmtId="0" fontId="65" fillId="0" borderId="0"/>
    <xf numFmtId="0" fontId="14" fillId="0" borderId="0"/>
    <xf numFmtId="0" fontId="8" fillId="0" borderId="0"/>
    <xf numFmtId="0" fontId="1" fillId="0" borderId="0"/>
    <xf numFmtId="0" fontId="8" fillId="0" borderId="0"/>
    <xf numFmtId="0" fontId="8" fillId="0" borderId="0"/>
    <xf numFmtId="0" fontId="24" fillId="0" borderId="0"/>
    <xf numFmtId="0" fontId="13" fillId="0" borderId="0"/>
    <xf numFmtId="0" fontId="8" fillId="0" borderId="0"/>
    <xf numFmtId="0" fontId="8" fillId="0" borderId="0"/>
    <xf numFmtId="0" fontId="52" fillId="0" borderId="0"/>
    <xf numFmtId="0" fontId="5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 fontId="8" fillId="0" borderId="0"/>
    <xf numFmtId="0" fontId="8"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24" fillId="0" borderId="0"/>
    <xf numFmtId="0" fontId="79" fillId="0" borderId="0"/>
    <xf numFmtId="0" fontId="24" fillId="0" borderId="0"/>
    <xf numFmtId="0" fontId="24" fillId="0" borderId="0"/>
    <xf numFmtId="0" fontId="24" fillId="0" borderId="0"/>
    <xf numFmtId="0" fontId="79" fillId="0" borderId="0"/>
    <xf numFmtId="0" fontId="24" fillId="0" borderId="0"/>
    <xf numFmtId="0" fontId="79" fillId="0" borderId="0"/>
    <xf numFmtId="0" fontId="79" fillId="0" borderId="0"/>
    <xf numFmtId="0" fontId="79" fillId="0" borderId="0"/>
    <xf numFmtId="0" fontId="24" fillId="0" borderId="0"/>
    <xf numFmtId="0" fontId="2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4" fillId="0" borderId="0"/>
    <xf numFmtId="0" fontId="79" fillId="0" borderId="0"/>
    <xf numFmtId="0" fontId="24" fillId="0" borderId="0"/>
    <xf numFmtId="0" fontId="24" fillId="0" borderId="0"/>
    <xf numFmtId="0" fontId="24" fillId="0" borderId="0"/>
    <xf numFmtId="0" fontId="79" fillId="0" borderId="0"/>
    <xf numFmtId="0" fontId="79" fillId="0" borderId="0"/>
    <xf numFmtId="0" fontId="24" fillId="0" borderId="0"/>
    <xf numFmtId="0" fontId="24" fillId="0" borderId="0"/>
    <xf numFmtId="0" fontId="8"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9" fillId="0" borderId="0"/>
    <xf numFmtId="0" fontId="2" fillId="0" borderId="0"/>
    <xf numFmtId="0" fontId="2" fillId="0" borderId="0"/>
    <xf numFmtId="0" fontId="9" fillId="0" borderId="0"/>
    <xf numFmtId="0" fontId="2" fillId="0" borderId="0"/>
    <xf numFmtId="0" fontId="2"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24" fillId="0" borderId="0"/>
    <xf numFmtId="0" fontId="8"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80" fillId="0" borderId="0"/>
    <xf numFmtId="0" fontId="24" fillId="0" borderId="0"/>
    <xf numFmtId="0" fontId="24" fillId="0" borderId="0"/>
    <xf numFmtId="0" fontId="24" fillId="0" borderId="0"/>
    <xf numFmtId="0" fontId="24" fillId="0" borderId="0"/>
    <xf numFmtId="0" fontId="24" fillId="0" borderId="0"/>
    <xf numFmtId="0" fontId="24" fillId="0" borderId="0"/>
    <xf numFmtId="4" fontId="46" fillId="0" borderId="1" applyFill="0" applyBorder="0" applyProtection="0">
      <alignment horizontal="right" vertical="center"/>
    </xf>
    <xf numFmtId="0" fontId="45" fillId="0" borderId="0" applyNumberFormat="0" applyFill="0" applyBorder="0" applyProtection="0">
      <alignment horizontal="left" vertical="center"/>
    </xf>
    <xf numFmtId="49" fontId="45" fillId="0" borderId="1" applyNumberFormat="0" applyFill="0" applyBorder="0" applyProtection="0">
      <alignment horizontal="left" vertical="center"/>
    </xf>
    <xf numFmtId="0" fontId="46" fillId="0" borderId="1" applyNumberFormat="0" applyFill="0" applyAlignment="0" applyProtection="0"/>
    <xf numFmtId="0" fontId="49" fillId="24" borderId="0" applyNumberFormat="0" applyFont="0" applyBorder="0" applyAlignment="0" applyProtection="0"/>
    <xf numFmtId="4" fontId="8" fillId="0" borderId="0"/>
    <xf numFmtId="0" fontId="31" fillId="25" borderId="10" applyNumberFormat="0" applyFont="0" applyAlignment="0" applyProtection="0"/>
    <xf numFmtId="0" fontId="65" fillId="62" borderId="29" applyNumberFormat="0" applyFont="0" applyAlignment="0" applyProtection="0"/>
    <xf numFmtId="0" fontId="43" fillId="20" borderId="11" applyNumberFormat="0" applyAlignment="0" applyProtection="0"/>
    <xf numFmtId="0" fontId="81" fillId="57" borderId="30" applyNumberFormat="0" applyAlignment="0" applyProtection="0"/>
    <xf numFmtId="172" fontId="46" fillId="26" borderId="1" applyNumberFormat="0" applyFont="0" applyBorder="0" applyAlignment="0" applyProtection="0">
      <alignment horizontal="right" vertical="center"/>
    </xf>
    <xf numFmtId="9" fontId="1"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49" fontId="6" fillId="0" borderId="12">
      <alignment horizontal="left" wrapText="1"/>
    </xf>
    <xf numFmtId="0" fontId="6" fillId="0" borderId="0">
      <alignment horizontal="left" indent="1"/>
      <protection locked="0"/>
    </xf>
    <xf numFmtId="0" fontId="6" fillId="0" borderId="0">
      <alignment horizontal="left"/>
    </xf>
    <xf numFmtId="0" fontId="9" fillId="0" borderId="0">
      <alignment horizontal="left"/>
    </xf>
    <xf numFmtId="0" fontId="2" fillId="0" borderId="0">
      <alignment horizontal="left"/>
    </xf>
    <xf numFmtId="0" fontId="2" fillId="0" borderId="0">
      <alignment horizontal="left"/>
    </xf>
    <xf numFmtId="0" fontId="82" fillId="63" borderId="31" applyNumberFormat="0" applyProtection="0">
      <alignment vertical="center"/>
    </xf>
    <xf numFmtId="0" fontId="83" fillId="64" borderId="32"/>
    <xf numFmtId="0" fontId="44" fillId="0" borderId="0" applyNumberFormat="0" applyFill="0" applyBorder="0" applyAlignment="0" applyProtection="0"/>
    <xf numFmtId="0" fontId="84" fillId="0" borderId="0" applyNumberFormat="0" applyFill="0" applyBorder="0" applyAlignment="0" applyProtection="0"/>
    <xf numFmtId="0" fontId="20" fillId="0" borderId="13" applyNumberFormat="0" applyFill="0" applyAlignment="0" applyProtection="0"/>
    <xf numFmtId="0" fontId="85" fillId="0" borderId="33" applyNumberFormat="0" applyFill="0" applyAlignment="0" applyProtection="0"/>
    <xf numFmtId="0" fontId="17" fillId="0" borderId="14" applyAlignment="0" applyProtection="0"/>
    <xf numFmtId="0" fontId="26" fillId="0" borderId="0" applyNumberFormat="0" applyFill="0" applyBorder="0" applyAlignment="0" applyProtection="0"/>
    <xf numFmtId="0" fontId="86" fillId="0" borderId="0" applyNumberFormat="0" applyFill="0" applyBorder="0" applyAlignment="0" applyProtection="0"/>
    <xf numFmtId="0" fontId="46" fillId="0" borderId="0"/>
  </cellStyleXfs>
  <cellXfs count="222">
    <xf numFmtId="0" fontId="0" fillId="0" borderId="0" xfId="0"/>
    <xf numFmtId="0" fontId="3" fillId="0" borderId="0" xfId="135" applyAlignment="1" applyProtection="1"/>
    <xf numFmtId="0" fontId="4" fillId="0" borderId="0" xfId="0" applyFont="1"/>
    <xf numFmtId="17" fontId="4" fillId="0" borderId="0" xfId="0" applyNumberFormat="1" applyFont="1"/>
    <xf numFmtId="0" fontId="0" fillId="0" borderId="0" xfId="0" applyAlignment="1">
      <alignment wrapText="1"/>
    </xf>
    <xf numFmtId="0" fontId="4" fillId="0" borderId="0" xfId="0" applyFont="1" applyAlignment="1">
      <alignment wrapText="1"/>
    </xf>
    <xf numFmtId="0" fontId="0" fillId="0" borderId="0" xfId="0" applyAlignment="1">
      <alignment horizontal="left"/>
    </xf>
    <xf numFmtId="0" fontId="5" fillId="0" borderId="0" xfId="0" applyFont="1" applyAlignment="1">
      <alignment horizontal="justify"/>
    </xf>
    <xf numFmtId="3" fontId="0" fillId="0" borderId="0" xfId="0" applyNumberFormat="1" applyAlignment="1">
      <alignment horizontal="right"/>
    </xf>
    <xf numFmtId="3" fontId="0" fillId="0" borderId="0" xfId="0" applyNumberFormat="1"/>
    <xf numFmtId="164" fontId="0" fillId="0" borderId="0" xfId="0" applyNumberFormat="1"/>
    <xf numFmtId="0" fontId="0" fillId="0" borderId="0" xfId="0" applyAlignment="1">
      <alignment horizontal="right"/>
    </xf>
    <xf numFmtId="0" fontId="4" fillId="0" borderId="0" xfId="0" applyFont="1" applyAlignment="1">
      <alignment horizontal="right"/>
    </xf>
    <xf numFmtId="165" fontId="0" fillId="0" borderId="0" xfId="0" applyNumberFormat="1"/>
    <xf numFmtId="0" fontId="8" fillId="0" borderId="0" xfId="0" applyFont="1"/>
    <xf numFmtId="9" fontId="0" fillId="0" borderId="0" xfId="0" applyNumberFormat="1"/>
    <xf numFmtId="165" fontId="0" fillId="0" borderId="0" xfId="0" applyNumberFormat="1" applyAlignment="1">
      <alignment horizontal="right"/>
    </xf>
    <xf numFmtId="0" fontId="10" fillId="0" borderId="0" xfId="0" applyFont="1"/>
    <xf numFmtId="164" fontId="0" fillId="0" borderId="0" xfId="306" applyNumberFormat="1" applyFont="1"/>
    <xf numFmtId="166" fontId="0" fillId="0" borderId="0" xfId="0" applyNumberFormat="1"/>
    <xf numFmtId="0" fontId="11" fillId="0" borderId="0" xfId="0" applyFont="1"/>
    <xf numFmtId="0" fontId="1" fillId="0" borderId="0" xfId="0" applyFont="1"/>
    <xf numFmtId="168" fontId="0" fillId="0" borderId="0" xfId="0" applyNumberFormat="1"/>
    <xf numFmtId="9" fontId="0" fillId="0" borderId="0" xfId="0" applyNumberFormat="1" applyAlignment="1">
      <alignment horizontal="right"/>
    </xf>
    <xf numFmtId="9" fontId="4" fillId="0" borderId="0" xfId="0" applyNumberFormat="1" applyFont="1"/>
    <xf numFmtId="9" fontId="4" fillId="0" borderId="0" xfId="0" applyNumberFormat="1" applyFont="1" applyAlignment="1">
      <alignment horizontal="right"/>
    </xf>
    <xf numFmtId="0" fontId="0" fillId="0" borderId="0" xfId="0" quotePrefix="1"/>
    <xf numFmtId="0" fontId="13" fillId="0" borderId="0" xfId="0" applyFont="1"/>
    <xf numFmtId="169" fontId="6" fillId="0" borderId="0" xfId="0" applyNumberFormat="1" applyFont="1" applyAlignment="1">
      <alignment horizontal="left" vertical="center" indent="1"/>
    </xf>
    <xf numFmtId="165" fontId="7" fillId="0" borderId="0" xfId="0" applyNumberFormat="1" applyFont="1"/>
    <xf numFmtId="169" fontId="6" fillId="0" borderId="0" xfId="0" applyNumberFormat="1" applyFont="1" applyAlignment="1">
      <alignment horizontal="left" vertical="center"/>
    </xf>
    <xf numFmtId="0" fontId="13" fillId="28" borderId="0" xfId="0" applyFont="1" applyFill="1"/>
    <xf numFmtId="0" fontId="13" fillId="29" borderId="0" xfId="0" applyFont="1" applyFill="1"/>
    <xf numFmtId="3" fontId="4" fillId="0" borderId="0" xfId="0" applyNumberFormat="1" applyFont="1" applyAlignment="1">
      <alignment horizontal="right"/>
    </xf>
    <xf numFmtId="0" fontId="18" fillId="0" borderId="0" xfId="0" applyFont="1"/>
    <xf numFmtId="0" fontId="0" fillId="27" borderId="0" xfId="0" applyFill="1"/>
    <xf numFmtId="164" fontId="0" fillId="27" borderId="0" xfId="0" applyNumberFormat="1" applyFill="1"/>
    <xf numFmtId="165" fontId="0" fillId="27" borderId="0" xfId="0" applyNumberFormat="1" applyFill="1"/>
    <xf numFmtId="0" fontId="4" fillId="30" borderId="15" xfId="0" applyFont="1" applyFill="1" applyBorder="1"/>
    <xf numFmtId="0" fontId="0" fillId="30" borderId="16" xfId="0" applyFill="1" applyBorder="1"/>
    <xf numFmtId="0" fontId="0" fillId="30" borderId="17" xfId="0" applyFill="1" applyBorder="1"/>
    <xf numFmtId="0" fontId="4" fillId="30" borderId="18" xfId="0" applyFont="1" applyFill="1" applyBorder="1"/>
    <xf numFmtId="0" fontId="0" fillId="30" borderId="0" xfId="0" applyFill="1"/>
    <xf numFmtId="0" fontId="0" fillId="30" borderId="19" xfId="0" applyFill="1" applyBorder="1"/>
    <xf numFmtId="0" fontId="4" fillId="30" borderId="20" xfId="0" applyFont="1" applyFill="1" applyBorder="1"/>
    <xf numFmtId="0" fontId="0" fillId="30" borderId="14" xfId="0" applyFill="1" applyBorder="1"/>
    <xf numFmtId="0" fontId="0" fillId="30" borderId="21" xfId="0" applyFill="1" applyBorder="1"/>
    <xf numFmtId="3" fontId="0" fillId="27" borderId="0" xfId="0" applyNumberFormat="1" applyFill="1"/>
    <xf numFmtId="164" fontId="8" fillId="27" borderId="0" xfId="0" applyNumberFormat="1" applyFont="1" applyFill="1"/>
    <xf numFmtId="2" fontId="0" fillId="0" borderId="0" xfId="0" applyNumberFormat="1"/>
    <xf numFmtId="0" fontId="0" fillId="0" borderId="0" xfId="0" applyAlignment="1">
      <alignment horizontal="right" wrapText="1"/>
    </xf>
    <xf numFmtId="2" fontId="8" fillId="0" borderId="0" xfId="0" applyNumberFormat="1" applyFont="1"/>
    <xf numFmtId="3" fontId="0" fillId="0" borderId="0" xfId="0" applyNumberFormat="1" applyAlignment="1">
      <alignment horizontal="left"/>
    </xf>
    <xf numFmtId="49" fontId="1" fillId="0" borderId="0" xfId="0" applyNumberFormat="1" applyFont="1"/>
    <xf numFmtId="3" fontId="1" fillId="0" borderId="0" xfId="0" applyNumberFormat="1" applyFont="1" applyAlignment="1">
      <alignment horizontal="right"/>
    </xf>
    <xf numFmtId="164" fontId="4" fillId="0" borderId="0" xfId="0" applyNumberFormat="1" applyFont="1"/>
    <xf numFmtId="49" fontId="4" fillId="0" borderId="0" xfId="0" applyNumberFormat="1" applyFont="1"/>
    <xf numFmtId="0" fontId="20" fillId="0" borderId="0" xfId="0" applyFont="1" applyAlignment="1">
      <alignment wrapText="1"/>
    </xf>
    <xf numFmtId="9" fontId="0" fillId="0" borderId="0" xfId="306" applyFont="1"/>
    <xf numFmtId="167" fontId="0" fillId="0" borderId="0" xfId="0" applyNumberFormat="1"/>
    <xf numFmtId="2" fontId="0" fillId="27" borderId="0" xfId="0" applyNumberFormat="1" applyFill="1"/>
    <xf numFmtId="1" fontId="0" fillId="0" borderId="0" xfId="0" applyNumberFormat="1"/>
    <xf numFmtId="0" fontId="21" fillId="0" borderId="0" xfId="0" applyFont="1"/>
    <xf numFmtId="49" fontId="11" fillId="0" borderId="0" xfId="0" applyNumberFormat="1" applyFont="1" applyAlignment="1">
      <alignment horizontal="center" vertical="center" wrapText="1"/>
    </xf>
    <xf numFmtId="9" fontId="13" fillId="27" borderId="0" xfId="0" applyNumberFormat="1" applyFont="1" applyFill="1"/>
    <xf numFmtId="168" fontId="0" fillId="27" borderId="0" xfId="0" applyNumberFormat="1" applyFill="1"/>
    <xf numFmtId="6" fontId="0" fillId="0" borderId="0" xfId="0" applyNumberFormat="1"/>
    <xf numFmtId="0" fontId="21" fillId="0" borderId="0" xfId="0" quotePrefix="1" applyFont="1"/>
    <xf numFmtId="0" fontId="25" fillId="0" borderId="0" xfId="0" applyFont="1"/>
    <xf numFmtId="1" fontId="0" fillId="0" borderId="0" xfId="306" applyNumberFormat="1" applyFont="1"/>
    <xf numFmtId="171" fontId="28" fillId="0" borderId="0" xfId="176" applyNumberFormat="1" applyFont="1"/>
    <xf numFmtId="167" fontId="6" fillId="0" borderId="0" xfId="62" applyNumberFormat="1" applyFont="1" applyAlignment="1">
      <alignment horizontal="right" vertical="center"/>
    </xf>
    <xf numFmtId="164" fontId="27" fillId="0" borderId="0" xfId="0" applyNumberFormat="1" applyFont="1" applyAlignment="1">
      <alignment horizontal="left" vertical="center"/>
    </xf>
    <xf numFmtId="0" fontId="29" fillId="31" borderId="22" xfId="0" applyFont="1" applyFill="1" applyBorder="1" applyAlignment="1">
      <alignment horizontal="center" wrapText="1"/>
    </xf>
    <xf numFmtId="0" fontId="30" fillId="31" borderId="22" xfId="0" applyFont="1" applyFill="1" applyBorder="1" applyAlignment="1">
      <alignment wrapText="1"/>
    </xf>
    <xf numFmtId="0" fontId="30" fillId="31" borderId="22" xfId="0" applyFont="1" applyFill="1" applyBorder="1" applyAlignment="1">
      <alignment horizontal="right"/>
    </xf>
    <xf numFmtId="165" fontId="6" fillId="0" borderId="0" xfId="0" applyNumberFormat="1" applyFont="1" applyAlignment="1">
      <alignment horizontal="right" vertical="center" indent="1"/>
    </xf>
    <xf numFmtId="0" fontId="7" fillId="0" borderId="0" xfId="0" applyFont="1"/>
    <xf numFmtId="0" fontId="6" fillId="0" borderId="0" xfId="213" applyFont="1"/>
    <xf numFmtId="0" fontId="3" fillId="0" borderId="0" xfId="135" applyAlignment="1" applyProtection="1">
      <alignment wrapText="1"/>
    </xf>
    <xf numFmtId="165" fontId="8" fillId="0" borderId="0" xfId="0" applyNumberFormat="1" applyFont="1"/>
    <xf numFmtId="17" fontId="4" fillId="0" borderId="0" xfId="0" quotePrefix="1" applyNumberFormat="1" applyFont="1"/>
    <xf numFmtId="0" fontId="8" fillId="0" borderId="0" xfId="0" applyFont="1" applyAlignment="1">
      <alignment vertical="top" wrapText="1"/>
    </xf>
    <xf numFmtId="0" fontId="50" fillId="0" borderId="0" xfId="0" applyFont="1"/>
    <xf numFmtId="0" fontId="8" fillId="0" borderId="0" xfId="176"/>
    <xf numFmtId="0" fontId="4" fillId="0" borderId="0" xfId="176" applyFont="1"/>
    <xf numFmtId="165" fontId="8" fillId="0" borderId="0" xfId="176" applyNumberFormat="1"/>
    <xf numFmtId="1" fontId="8" fillId="0" borderId="0" xfId="0" applyNumberFormat="1" applyFont="1"/>
    <xf numFmtId="0" fontId="12" fillId="0" borderId="0" xfId="0" applyFont="1"/>
    <xf numFmtId="170" fontId="0" fillId="0" borderId="0" xfId="0" applyNumberFormat="1"/>
    <xf numFmtId="0" fontId="8" fillId="0" borderId="0" xfId="0" applyFont="1" applyAlignment="1">
      <alignment horizontal="right"/>
    </xf>
    <xf numFmtId="2" fontId="8" fillId="0" borderId="0" xfId="176" applyNumberFormat="1"/>
    <xf numFmtId="0" fontId="10" fillId="0" borderId="0" xfId="176" applyFont="1"/>
    <xf numFmtId="0" fontId="51" fillId="0" borderId="0" xfId="0" applyFont="1" applyAlignment="1">
      <alignment horizontal="center"/>
    </xf>
    <xf numFmtId="0" fontId="51" fillId="0" borderId="0" xfId="0" applyFont="1"/>
    <xf numFmtId="0" fontId="3" fillId="0" borderId="0" xfId="147" applyAlignment="1" applyProtection="1"/>
    <xf numFmtId="0" fontId="50" fillId="0" borderId="0" xfId="176" applyFont="1"/>
    <xf numFmtId="0" fontId="8" fillId="0" borderId="0" xfId="176" applyAlignment="1">
      <alignment horizontal="center"/>
    </xf>
    <xf numFmtId="9" fontId="8" fillId="0" borderId="0" xfId="0" applyNumberFormat="1" applyFont="1"/>
    <xf numFmtId="164" fontId="8" fillId="0" borderId="0" xfId="0" applyNumberFormat="1" applyFont="1"/>
    <xf numFmtId="3" fontId="0" fillId="66" borderId="0" xfId="0" applyNumberFormat="1" applyFill="1"/>
    <xf numFmtId="9" fontId="0" fillId="27" borderId="0" xfId="306" applyFont="1" applyFill="1"/>
    <xf numFmtId="9" fontId="53" fillId="67" borderId="0" xfId="306" applyFont="1" applyFill="1"/>
    <xf numFmtId="3" fontId="8" fillId="0" borderId="0" xfId="0" applyNumberFormat="1" applyFont="1" applyAlignment="1">
      <alignment horizontal="right"/>
    </xf>
    <xf numFmtId="9" fontId="8" fillId="0" borderId="0" xfId="306" applyFont="1"/>
    <xf numFmtId="9" fontId="54" fillId="66" borderId="0" xfId="306" applyFont="1" applyFill="1"/>
    <xf numFmtId="0" fontId="3" fillId="0" borderId="0" xfId="135" applyProtection="1">
      <alignment vertical="top"/>
    </xf>
    <xf numFmtId="0" fontId="0" fillId="0" borderId="0" xfId="0" applyAlignment="1">
      <alignment vertical="top"/>
    </xf>
    <xf numFmtId="0" fontId="50" fillId="0" borderId="0" xfId="0" applyFont="1" applyAlignment="1">
      <alignment vertical="top"/>
    </xf>
    <xf numFmtId="0" fontId="8" fillId="0" borderId="0" xfId="0" applyFont="1" applyAlignment="1">
      <alignment vertical="top"/>
    </xf>
    <xf numFmtId="173" fontId="58" fillId="0" borderId="0" xfId="0" applyNumberFormat="1" applyFont="1" applyAlignment="1">
      <alignment horizontal="center" vertical="center"/>
    </xf>
    <xf numFmtId="0" fontId="83" fillId="0" borderId="0" xfId="0" applyFont="1"/>
    <xf numFmtId="0" fontId="4" fillId="68" borderId="0" xfId="0" applyFont="1" applyFill="1" applyAlignment="1">
      <alignment horizontal="right"/>
    </xf>
    <xf numFmtId="166" fontId="0" fillId="68" borderId="0" xfId="0" applyNumberFormat="1" applyFill="1"/>
    <xf numFmtId="164" fontId="0" fillId="68" borderId="0" xfId="0" applyNumberFormat="1" applyFill="1"/>
    <xf numFmtId="3" fontId="0" fillId="68" borderId="0" xfId="0" applyNumberFormat="1" applyFill="1"/>
    <xf numFmtId="165" fontId="0" fillId="68" borderId="0" xfId="0" applyNumberFormat="1" applyFill="1"/>
    <xf numFmtId="168" fontId="0" fillId="68" borderId="0" xfId="0" applyNumberFormat="1" applyFill="1"/>
    <xf numFmtId="165" fontId="0" fillId="68" borderId="0" xfId="0" applyNumberFormat="1" applyFill="1" applyAlignment="1">
      <alignment horizontal="right"/>
    </xf>
    <xf numFmtId="9" fontId="0" fillId="68" borderId="0" xfId="0" applyNumberFormat="1" applyFill="1"/>
    <xf numFmtId="9" fontId="63" fillId="68" borderId="0" xfId="306" applyFont="1" applyFill="1"/>
    <xf numFmtId="2" fontId="0" fillId="68" borderId="0" xfId="0" applyNumberFormat="1" applyFill="1" applyAlignment="1">
      <alignment horizontal="right"/>
    </xf>
    <xf numFmtId="0" fontId="87" fillId="68" borderId="0" xfId="0" applyFont="1" applyFill="1"/>
    <xf numFmtId="0" fontId="87" fillId="0" borderId="0" xfId="0" applyFont="1"/>
    <xf numFmtId="9" fontId="64" fillId="67" borderId="0" xfId="306" applyFont="1" applyFill="1"/>
    <xf numFmtId="167" fontId="0" fillId="67" borderId="0" xfId="0" applyNumberFormat="1" applyFill="1"/>
    <xf numFmtId="0" fontId="4" fillId="65" borderId="0" xfId="0" applyFont="1" applyFill="1"/>
    <xf numFmtId="0" fontId="91" fillId="0" borderId="0" xfId="0" applyFont="1" applyAlignment="1">
      <alignment vertical="center" wrapText="1"/>
    </xf>
    <xf numFmtId="0" fontId="92" fillId="0" borderId="0" xfId="0" applyFont="1" applyAlignment="1">
      <alignment vertical="center" wrapText="1"/>
    </xf>
    <xf numFmtId="3" fontId="4" fillId="0" borderId="0" xfId="0" applyNumberFormat="1" applyFont="1"/>
    <xf numFmtId="0" fontId="2" fillId="0" borderId="0" xfId="0" applyFont="1" applyAlignment="1">
      <alignment horizontal="justify" vertical="center"/>
    </xf>
    <xf numFmtId="0" fontId="2" fillId="0" borderId="0" xfId="0" applyFont="1"/>
    <xf numFmtId="0" fontId="8" fillId="65" borderId="0" xfId="0" applyFont="1" applyFill="1"/>
    <xf numFmtId="164" fontId="0" fillId="67" borderId="0" xfId="0" applyNumberFormat="1" applyFill="1"/>
    <xf numFmtId="0" fontId="1" fillId="0" borderId="0" xfId="0" applyFont="1" applyAlignment="1">
      <alignment horizontal="left"/>
    </xf>
    <xf numFmtId="165" fontId="1" fillId="0" borderId="0" xfId="0" applyNumberFormat="1" applyFont="1"/>
    <xf numFmtId="0" fontId="93" fillId="0" borderId="0" xfId="0" applyFont="1" applyAlignment="1">
      <alignment horizontal="left" vertical="center"/>
    </xf>
    <xf numFmtId="0" fontId="93" fillId="0" borderId="0" xfId="0" applyFont="1"/>
    <xf numFmtId="0" fontId="1" fillId="0" borderId="0" xfId="176" applyFont="1"/>
    <xf numFmtId="164" fontId="0" fillId="0" borderId="0" xfId="0" applyNumberFormat="1" applyAlignment="1">
      <alignment horizontal="right"/>
    </xf>
    <xf numFmtId="166" fontId="0" fillId="70" borderId="0" xfId="0" applyNumberFormat="1" applyFill="1"/>
    <xf numFmtId="9" fontId="8" fillId="70" borderId="0" xfId="0" applyNumberFormat="1" applyFont="1" applyFill="1" applyAlignment="1">
      <alignment horizontal="right"/>
    </xf>
    <xf numFmtId="164" fontId="0" fillId="70" borderId="0" xfId="0" applyNumberFormat="1" applyFill="1"/>
    <xf numFmtId="3" fontId="0" fillId="70" borderId="0" xfId="0" applyNumberFormat="1" applyFill="1"/>
    <xf numFmtId="165" fontId="0" fillId="70" borderId="0" xfId="0" applyNumberFormat="1" applyFill="1"/>
    <xf numFmtId="164" fontId="0" fillId="70" borderId="0" xfId="0" applyNumberFormat="1" applyFill="1" applyAlignment="1">
      <alignment horizontal="right"/>
    </xf>
    <xf numFmtId="3" fontId="0" fillId="67" borderId="0" xfId="0" applyNumberFormat="1" applyFill="1"/>
    <xf numFmtId="165" fontId="0" fillId="67" borderId="0" xfId="0" applyNumberFormat="1" applyFill="1"/>
    <xf numFmtId="164" fontId="8" fillId="67" borderId="0" xfId="0" applyNumberFormat="1" applyFont="1" applyFill="1"/>
    <xf numFmtId="0" fontId="95" fillId="71" borderId="0" xfId="0" applyFont="1" applyFill="1" applyAlignment="1">
      <alignment vertical="top"/>
    </xf>
    <xf numFmtId="0" fontId="1" fillId="0" borderId="0" xfId="0" applyFont="1" applyAlignment="1">
      <alignment vertical="top" wrapText="1"/>
    </xf>
    <xf numFmtId="0" fontId="56" fillId="0" borderId="0" xfId="0" applyFont="1" applyAlignment="1">
      <alignment vertical="top" wrapText="1"/>
    </xf>
    <xf numFmtId="0" fontId="99" fillId="71" borderId="0" xfId="0" applyFont="1" applyFill="1" applyAlignment="1">
      <alignment vertical="top"/>
    </xf>
    <xf numFmtId="0" fontId="97" fillId="71" borderId="0" xfId="0" applyFont="1" applyFill="1" applyAlignment="1">
      <alignment vertical="top"/>
    </xf>
    <xf numFmtId="0" fontId="101" fillId="0" borderId="0" xfId="0" applyFont="1" applyAlignment="1">
      <alignment vertical="top"/>
    </xf>
    <xf numFmtId="0" fontId="89" fillId="0" borderId="0" xfId="0" applyFont="1" applyAlignment="1">
      <alignment horizontal="center" vertical="center"/>
    </xf>
    <xf numFmtId="0" fontId="88" fillId="0" borderId="0" xfId="0" applyFont="1" applyAlignment="1">
      <alignment horizontal="center" vertical="center"/>
    </xf>
    <xf numFmtId="0" fontId="90" fillId="0" borderId="0" xfId="0" applyFont="1" applyAlignment="1">
      <alignment horizontal="center" vertical="center"/>
    </xf>
    <xf numFmtId="166" fontId="8" fillId="0" borderId="0" xfId="0" applyNumberFormat="1" applyFont="1"/>
    <xf numFmtId="166" fontId="8" fillId="0" borderId="0" xfId="0" applyNumberFormat="1" applyFont="1" applyAlignment="1">
      <alignment horizontal="right"/>
    </xf>
    <xf numFmtId="9" fontId="0" fillId="0" borderId="0" xfId="306" applyFont="1" applyFill="1"/>
    <xf numFmtId="4" fontId="0" fillId="0" borderId="0" xfId="0" applyNumberFormat="1"/>
    <xf numFmtId="0" fontId="3" fillId="0" borderId="0" xfId="135" applyFill="1" applyAlignment="1" applyProtection="1"/>
    <xf numFmtId="5" fontId="0" fillId="0" borderId="0" xfId="118" applyNumberFormat="1" applyFont="1" applyFill="1"/>
    <xf numFmtId="164" fontId="8" fillId="0" borderId="0" xfId="186" applyNumberFormat="1" applyAlignment="1">
      <alignment horizontal="right" vertical="center"/>
    </xf>
    <xf numFmtId="0" fontId="51" fillId="0" borderId="0" xfId="0" applyFont="1" applyAlignment="1">
      <alignment horizontal="center" vertical="center" wrapText="1"/>
    </xf>
    <xf numFmtId="0" fontId="102" fillId="0" borderId="0" xfId="0" applyFont="1" applyAlignment="1">
      <alignment vertical="top"/>
    </xf>
    <xf numFmtId="0" fontId="1" fillId="0" borderId="0" xfId="0" applyFont="1" applyAlignment="1">
      <alignment horizontal="right"/>
    </xf>
    <xf numFmtId="0" fontId="3" fillId="72" borderId="0" xfId="135" applyFill="1" applyAlignment="1" applyProtection="1"/>
    <xf numFmtId="0" fontId="3" fillId="73" borderId="0" xfId="135" applyFill="1" applyAlignment="1" applyProtection="1"/>
    <xf numFmtId="0" fontId="3" fillId="74" borderId="0" xfId="135" applyFill="1" applyAlignment="1" applyProtection="1"/>
    <xf numFmtId="165" fontId="8" fillId="72" borderId="0" xfId="176" applyNumberFormat="1" applyFill="1"/>
    <xf numFmtId="165" fontId="1" fillId="72" borderId="0" xfId="176" applyNumberFormat="1" applyFont="1" applyFill="1"/>
    <xf numFmtId="165" fontId="8" fillId="73" borderId="0" xfId="176" applyNumberFormat="1" applyFill="1"/>
    <xf numFmtId="0" fontId="8" fillId="73" borderId="0" xfId="176" applyFill="1"/>
    <xf numFmtId="165" fontId="8" fillId="74" borderId="0" xfId="176" applyNumberFormat="1" applyFill="1"/>
    <xf numFmtId="0" fontId="8" fillId="74" borderId="0" xfId="176" applyFill="1"/>
    <xf numFmtId="0" fontId="4" fillId="72" borderId="0" xfId="0" applyFont="1" applyFill="1"/>
    <xf numFmtId="0" fontId="0" fillId="72" borderId="0" xfId="0" applyFill="1"/>
    <xf numFmtId="0" fontId="4" fillId="73" borderId="0" xfId="0" applyFont="1" applyFill="1"/>
    <xf numFmtId="0" fontId="0" fillId="73" borderId="0" xfId="0" applyFill="1"/>
    <xf numFmtId="0" fontId="4" fillId="74" borderId="0" xfId="0" applyFont="1" applyFill="1"/>
    <xf numFmtId="0" fontId="0" fillId="74" borderId="0" xfId="0" applyFill="1"/>
    <xf numFmtId="0" fontId="8" fillId="74" borderId="0" xfId="0" applyFont="1" applyFill="1"/>
    <xf numFmtId="0" fontId="4" fillId="75" borderId="15" xfId="0" applyFont="1" applyFill="1" applyBorder="1"/>
    <xf numFmtId="0" fontId="4" fillId="75" borderId="16" xfId="0" applyFont="1" applyFill="1" applyBorder="1"/>
    <xf numFmtId="0" fontId="4" fillId="75" borderId="17" xfId="0" applyFont="1" applyFill="1" applyBorder="1"/>
    <xf numFmtId="0" fontId="1" fillId="75" borderId="18" xfId="0" applyFont="1" applyFill="1" applyBorder="1"/>
    <xf numFmtId="0" fontId="0" fillId="75" borderId="0" xfId="0" applyFill="1"/>
    <xf numFmtId="0" fontId="0" fillId="75" borderId="19" xfId="0" applyFill="1" applyBorder="1"/>
    <xf numFmtId="0" fontId="1" fillId="75" borderId="18" xfId="0" applyFont="1" applyFill="1" applyBorder="1" applyAlignment="1">
      <alignment horizontal="left" indent="1"/>
    </xf>
    <xf numFmtId="0" fontId="1" fillId="75" borderId="20" xfId="0" applyFont="1" applyFill="1" applyBorder="1" applyAlignment="1">
      <alignment horizontal="left" indent="1"/>
    </xf>
    <xf numFmtId="0" fontId="0" fillId="75" borderId="14" xfId="0" applyFill="1" applyBorder="1"/>
    <xf numFmtId="0" fontId="0" fillId="75" borderId="21" xfId="0" applyFill="1" applyBorder="1"/>
    <xf numFmtId="0" fontId="1" fillId="0" borderId="0" xfId="0" quotePrefix="1" applyFont="1"/>
    <xf numFmtId="9" fontId="8" fillId="0" borderId="0" xfId="306" applyFont="1" applyFill="1"/>
    <xf numFmtId="164" fontId="0" fillId="27" borderId="0" xfId="306" applyNumberFormat="1" applyFont="1" applyFill="1"/>
    <xf numFmtId="9" fontId="1" fillId="0" borderId="0" xfId="0" applyNumberFormat="1" applyFont="1" applyAlignment="1">
      <alignment horizontal="right"/>
    </xf>
    <xf numFmtId="9" fontId="1" fillId="70" borderId="0" xfId="0" applyNumberFormat="1" applyFont="1" applyFill="1" applyAlignment="1">
      <alignment horizontal="right"/>
    </xf>
    <xf numFmtId="0" fontId="1" fillId="74" borderId="0" xfId="0" applyFont="1" applyFill="1"/>
    <xf numFmtId="0" fontId="1" fillId="0" borderId="0" xfId="0" applyFont="1" applyAlignment="1">
      <alignment vertical="top"/>
    </xf>
    <xf numFmtId="0" fontId="4" fillId="0" borderId="0" xfId="0" applyFont="1" applyAlignment="1">
      <alignment horizontal="left"/>
    </xf>
    <xf numFmtId="165" fontId="4" fillId="0" borderId="0" xfId="176" applyNumberFormat="1" applyFont="1"/>
    <xf numFmtId="167" fontId="8" fillId="0" borderId="0" xfId="0" applyNumberFormat="1" applyFont="1"/>
    <xf numFmtId="167" fontId="0" fillId="68" borderId="0" xfId="0" applyNumberFormat="1" applyFill="1"/>
    <xf numFmtId="2" fontId="0" fillId="67" borderId="0" xfId="0" applyNumberFormat="1" applyFill="1"/>
    <xf numFmtId="9" fontId="0" fillId="67" borderId="0" xfId="306" applyFont="1" applyFill="1"/>
    <xf numFmtId="167" fontId="8" fillId="67" borderId="0" xfId="0" applyNumberFormat="1" applyFont="1" applyFill="1"/>
    <xf numFmtId="0" fontId="103" fillId="0" borderId="0" xfId="0" applyFont="1" applyAlignment="1">
      <alignment horizontal="center" vertical="center"/>
    </xf>
    <xf numFmtId="167" fontId="6" fillId="0" borderId="0" xfId="155" applyNumberFormat="1" applyFont="1" applyAlignment="1">
      <alignment horizontal="right" indent="2"/>
    </xf>
    <xf numFmtId="9" fontId="0" fillId="27" borderId="0" xfId="0" applyNumberFormat="1" applyFill="1"/>
    <xf numFmtId="0" fontId="96" fillId="71" borderId="0" xfId="0" applyFont="1" applyFill="1" applyAlignment="1">
      <alignment horizontal="center" vertical="center"/>
    </xf>
    <xf numFmtId="0" fontId="98" fillId="71" borderId="0" xfId="0" applyFont="1" applyFill="1" applyAlignment="1">
      <alignment horizontal="center" vertical="center"/>
    </xf>
    <xf numFmtId="0" fontId="100" fillId="71" borderId="0" xfId="0" applyFont="1" applyFill="1" applyAlignment="1">
      <alignment horizontal="center" vertical="top"/>
    </xf>
    <xf numFmtId="0" fontId="101" fillId="0" borderId="0" xfId="0" applyFont="1" applyAlignment="1">
      <alignment vertical="top"/>
    </xf>
    <xf numFmtId="0" fontId="0" fillId="0" borderId="0" xfId="0" applyAlignment="1">
      <alignment vertical="top"/>
    </xf>
    <xf numFmtId="0" fontId="51" fillId="69" borderId="34" xfId="0" applyFont="1" applyFill="1" applyBorder="1" applyAlignment="1">
      <alignment horizontal="center" vertical="center" wrapText="1"/>
    </xf>
    <xf numFmtId="0" fontId="51" fillId="69" borderId="12" xfId="0" applyFont="1" applyFill="1" applyBorder="1" applyAlignment="1">
      <alignment horizontal="center" vertical="center" wrapText="1"/>
    </xf>
    <xf numFmtId="0" fontId="56" fillId="0" borderId="0" xfId="0" applyFont="1" applyAlignment="1">
      <alignment vertical="top" wrapText="1"/>
    </xf>
    <xf numFmtId="0" fontId="56" fillId="0" borderId="0" xfId="0" applyFont="1" applyAlignment="1">
      <alignment horizontal="left" vertical="top" wrapText="1"/>
    </xf>
    <xf numFmtId="0" fontId="101" fillId="0" borderId="0" xfId="0" applyFont="1" applyAlignment="1">
      <alignment vertical="top" wrapText="1"/>
    </xf>
    <xf numFmtId="0" fontId="2" fillId="0" borderId="0" xfId="0" applyFont="1" applyAlignment="1">
      <alignment horizontal="left" vertical="center"/>
    </xf>
  </cellXfs>
  <cellStyles count="329">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2x indented GHG Textfiels" xfId="13" xr:uid="{00000000-0005-0000-0000-00000C000000}"/>
    <cellStyle name="40% - Accent1" xfId="14" builtinId="31" customBuiltin="1"/>
    <cellStyle name="40% - Accent1 2" xfId="15" xr:uid="{00000000-0005-0000-0000-00000E000000}"/>
    <cellStyle name="40% - Accent2" xfId="16" builtinId="35" customBuiltin="1"/>
    <cellStyle name="40% - Accent2 2" xfId="17" xr:uid="{00000000-0005-0000-0000-000010000000}"/>
    <cellStyle name="40% - Accent3" xfId="18" builtinId="39" customBuiltin="1"/>
    <cellStyle name="40% - Accent3 2" xfId="19" xr:uid="{00000000-0005-0000-0000-000012000000}"/>
    <cellStyle name="40% - Accent4" xfId="20" builtinId="43" customBuiltin="1"/>
    <cellStyle name="40% - Accent4 2" xfId="21" xr:uid="{00000000-0005-0000-0000-000014000000}"/>
    <cellStyle name="40% - Accent5" xfId="22" builtinId="47" customBuiltin="1"/>
    <cellStyle name="40% - Accent5 2" xfId="23" xr:uid="{00000000-0005-0000-0000-000016000000}"/>
    <cellStyle name="40% - Accent6" xfId="24" builtinId="51" customBuiltin="1"/>
    <cellStyle name="40% - Accent6 2" xfId="25" xr:uid="{00000000-0005-0000-0000-000018000000}"/>
    <cellStyle name="5x indented GHG Textfiels" xfId="26" xr:uid="{00000000-0005-0000-0000-000019000000}"/>
    <cellStyle name="60% - Accent1" xfId="27" builtinId="32" customBuiltin="1"/>
    <cellStyle name="60% - Accent1 2" xfId="28" xr:uid="{00000000-0005-0000-0000-00001B000000}"/>
    <cellStyle name="60% - Accent2" xfId="29" builtinId="36" customBuiltin="1"/>
    <cellStyle name="60% - Accent2 2" xfId="30" xr:uid="{00000000-0005-0000-0000-00001D000000}"/>
    <cellStyle name="60% - Accent3" xfId="31" builtinId="40" customBuiltin="1"/>
    <cellStyle name="60% - Accent3 2" xfId="32" xr:uid="{00000000-0005-0000-0000-00001F000000}"/>
    <cellStyle name="60% - Accent4" xfId="33" builtinId="44" customBuiltin="1"/>
    <cellStyle name="60% - Accent4 2" xfId="34" xr:uid="{00000000-0005-0000-0000-000021000000}"/>
    <cellStyle name="60% - Accent5" xfId="35" builtinId="48" customBuiltin="1"/>
    <cellStyle name="60% - Accent5 2" xfId="36" xr:uid="{00000000-0005-0000-0000-000023000000}"/>
    <cellStyle name="60% - Accent6" xfId="37" builtinId="52" customBuiltin="1"/>
    <cellStyle name="60% - Accent6 2" xfId="38" xr:uid="{00000000-0005-0000-0000-000025000000}"/>
    <cellStyle name="Accent1" xfId="39" builtinId="29" customBuiltin="1"/>
    <cellStyle name="Accent1 2" xfId="40" xr:uid="{00000000-0005-0000-0000-000027000000}"/>
    <cellStyle name="Accent2" xfId="41" builtinId="33" customBuiltin="1"/>
    <cellStyle name="Accent2 2" xfId="42" xr:uid="{00000000-0005-0000-0000-000029000000}"/>
    <cellStyle name="Accent3" xfId="43" builtinId="37" customBuiltin="1"/>
    <cellStyle name="Accent3 2" xfId="44" xr:uid="{00000000-0005-0000-0000-00002B000000}"/>
    <cellStyle name="Accent4" xfId="45" builtinId="41" customBuiltin="1"/>
    <cellStyle name="Accent4 2" xfId="46" xr:uid="{00000000-0005-0000-0000-00002D000000}"/>
    <cellStyle name="Accent5" xfId="47" builtinId="45" customBuiltin="1"/>
    <cellStyle name="Accent5 2" xfId="48" xr:uid="{00000000-0005-0000-0000-00002F000000}"/>
    <cellStyle name="Accent6" xfId="49" builtinId="49" customBuiltin="1"/>
    <cellStyle name="Accent6 2" xfId="50" xr:uid="{00000000-0005-0000-0000-000031000000}"/>
    <cellStyle name="Bad" xfId="51" builtinId="27" customBuiltin="1"/>
    <cellStyle name="Bad 2" xfId="52" xr:uid="{00000000-0005-0000-0000-000033000000}"/>
    <cellStyle name="Bold GHG Numbers (0.00)" xfId="53" xr:uid="{00000000-0005-0000-0000-000034000000}"/>
    <cellStyle name="Box head" xfId="54" xr:uid="{00000000-0005-0000-0000-000035000000}"/>
    <cellStyle name="Box head 2" xfId="55" xr:uid="{00000000-0005-0000-0000-000036000000}"/>
    <cellStyle name="Box head 2 2" xfId="56" xr:uid="{00000000-0005-0000-0000-000037000000}"/>
    <cellStyle name="Calculation" xfId="57" builtinId="22" customBuiltin="1"/>
    <cellStyle name="Calculation 2" xfId="58" xr:uid="{00000000-0005-0000-0000-000039000000}"/>
    <cellStyle name="Check Cell" xfId="59" builtinId="23" customBuiltin="1"/>
    <cellStyle name="Check Cell 2" xfId="60" xr:uid="{00000000-0005-0000-0000-00003B000000}"/>
    <cellStyle name="col head"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2 2" xfId="66" xr:uid="{00000000-0005-0000-0000-000041000000}"/>
    <cellStyle name="Comma 2 2 3" xfId="67" xr:uid="{00000000-0005-0000-0000-000042000000}"/>
    <cellStyle name="Comma 2 2 3 2" xfId="68" xr:uid="{00000000-0005-0000-0000-000043000000}"/>
    <cellStyle name="Comma 2 2 4" xfId="69" xr:uid="{00000000-0005-0000-0000-000044000000}"/>
    <cellStyle name="Comma 2 2 4 2" xfId="70" xr:uid="{00000000-0005-0000-0000-000045000000}"/>
    <cellStyle name="Comma 2 2 5" xfId="71" xr:uid="{00000000-0005-0000-0000-000046000000}"/>
    <cellStyle name="Comma 2 3" xfId="72" xr:uid="{00000000-0005-0000-0000-000047000000}"/>
    <cellStyle name="Comma 2 3 2" xfId="73" xr:uid="{00000000-0005-0000-0000-000048000000}"/>
    <cellStyle name="Comma 2 3 2 2" xfId="74" xr:uid="{00000000-0005-0000-0000-000049000000}"/>
    <cellStyle name="Comma 2 3 3" xfId="75" xr:uid="{00000000-0005-0000-0000-00004A000000}"/>
    <cellStyle name="Comma 2 3 3 2" xfId="76" xr:uid="{00000000-0005-0000-0000-00004B000000}"/>
    <cellStyle name="Comma 2 3 4" xfId="77" xr:uid="{00000000-0005-0000-0000-00004C000000}"/>
    <cellStyle name="Comma 2 3 4 2" xfId="78" xr:uid="{00000000-0005-0000-0000-00004D000000}"/>
    <cellStyle name="Comma 2 3 5" xfId="79" xr:uid="{00000000-0005-0000-0000-00004E000000}"/>
    <cellStyle name="Comma 2 4" xfId="80" xr:uid="{00000000-0005-0000-0000-00004F000000}"/>
    <cellStyle name="Comma 2 4 2" xfId="81" xr:uid="{00000000-0005-0000-0000-000050000000}"/>
    <cellStyle name="Comma 2 5" xfId="82" xr:uid="{00000000-0005-0000-0000-000051000000}"/>
    <cellStyle name="Comma 2 5 2" xfId="83" xr:uid="{00000000-0005-0000-0000-000052000000}"/>
    <cellStyle name="Comma 2 6" xfId="84" xr:uid="{00000000-0005-0000-0000-000053000000}"/>
    <cellStyle name="Comma 2 6 2" xfId="85" xr:uid="{00000000-0005-0000-0000-000054000000}"/>
    <cellStyle name="Comma 2 7" xfId="86" xr:uid="{00000000-0005-0000-0000-000055000000}"/>
    <cellStyle name="Comma 3" xfId="87" xr:uid="{00000000-0005-0000-0000-000056000000}"/>
    <cellStyle name="Comma 3 2" xfId="88" xr:uid="{00000000-0005-0000-0000-000057000000}"/>
    <cellStyle name="Comma 3 2 2" xfId="89" xr:uid="{00000000-0005-0000-0000-000058000000}"/>
    <cellStyle name="Comma 3 2 2 2" xfId="90" xr:uid="{00000000-0005-0000-0000-000059000000}"/>
    <cellStyle name="Comma 3 2 3" xfId="91" xr:uid="{00000000-0005-0000-0000-00005A000000}"/>
    <cellStyle name="Comma 3 2 3 2" xfId="92" xr:uid="{00000000-0005-0000-0000-00005B000000}"/>
    <cellStyle name="Comma 3 2 4" xfId="93" xr:uid="{00000000-0005-0000-0000-00005C000000}"/>
    <cellStyle name="Comma 3 2 4 2" xfId="94" xr:uid="{00000000-0005-0000-0000-00005D000000}"/>
    <cellStyle name="Comma 3 2 5" xfId="95" xr:uid="{00000000-0005-0000-0000-00005E000000}"/>
    <cellStyle name="Comma 3 3" xfId="96" xr:uid="{00000000-0005-0000-0000-00005F000000}"/>
    <cellStyle name="Comma 3 3 2" xfId="97" xr:uid="{00000000-0005-0000-0000-000060000000}"/>
    <cellStyle name="Comma 3 3 2 2" xfId="98" xr:uid="{00000000-0005-0000-0000-000061000000}"/>
    <cellStyle name="Comma 3 3 3" xfId="99" xr:uid="{00000000-0005-0000-0000-000062000000}"/>
    <cellStyle name="Comma 3 3 3 2" xfId="100" xr:uid="{00000000-0005-0000-0000-000063000000}"/>
    <cellStyle name="Comma 3 3 4" xfId="101" xr:uid="{00000000-0005-0000-0000-000064000000}"/>
    <cellStyle name="Comma 3 3 4 2" xfId="102" xr:uid="{00000000-0005-0000-0000-000065000000}"/>
    <cellStyle name="Comma 3 3 5" xfId="103" xr:uid="{00000000-0005-0000-0000-000066000000}"/>
    <cellStyle name="Comma 3 4" xfId="104" xr:uid="{00000000-0005-0000-0000-000067000000}"/>
    <cellStyle name="Comma 3 4 2" xfId="105" xr:uid="{00000000-0005-0000-0000-000068000000}"/>
    <cellStyle name="Comma 3 5" xfId="106" xr:uid="{00000000-0005-0000-0000-000069000000}"/>
    <cellStyle name="Comma 3 5 2" xfId="107" xr:uid="{00000000-0005-0000-0000-00006A000000}"/>
    <cellStyle name="Comma 3 6" xfId="108" xr:uid="{00000000-0005-0000-0000-00006B000000}"/>
    <cellStyle name="Comma 3 6 2" xfId="109" xr:uid="{00000000-0005-0000-0000-00006C000000}"/>
    <cellStyle name="Comma 3 7" xfId="110" xr:uid="{00000000-0005-0000-0000-00006D000000}"/>
    <cellStyle name="Comma 4" xfId="111" xr:uid="{00000000-0005-0000-0000-00006E000000}"/>
    <cellStyle name="Comma 4 2" xfId="112" xr:uid="{00000000-0005-0000-0000-00006F000000}"/>
    <cellStyle name="Comma 5" xfId="113" xr:uid="{00000000-0005-0000-0000-000070000000}"/>
    <cellStyle name="Comma 5 2" xfId="114" xr:uid="{00000000-0005-0000-0000-000071000000}"/>
    <cellStyle name="Comma 6" xfId="115" xr:uid="{00000000-0005-0000-0000-000072000000}"/>
    <cellStyle name="Comma 6 2" xfId="116" xr:uid="{00000000-0005-0000-0000-000073000000}"/>
    <cellStyle name="Comma 7" xfId="117" xr:uid="{00000000-0005-0000-0000-000074000000}"/>
    <cellStyle name="Currency" xfId="118" builtinId="4"/>
    <cellStyle name="data cell" xfId="119" xr:uid="{00000000-0005-0000-0000-000076000000}"/>
    <cellStyle name="Explanatory Text" xfId="120" builtinId="53" customBuiltin="1"/>
    <cellStyle name="Explanatory Text 2" xfId="121" xr:uid="{00000000-0005-0000-0000-000078000000}"/>
    <cellStyle name="Good" xfId="122" builtinId="26" customBuiltin="1"/>
    <cellStyle name="Good 2" xfId="123" xr:uid="{00000000-0005-0000-0000-00007A000000}"/>
    <cellStyle name="H1" xfId="124" xr:uid="{00000000-0005-0000-0000-00007B000000}"/>
    <cellStyle name="H2" xfId="125" xr:uid="{00000000-0005-0000-0000-00007C000000}"/>
    <cellStyle name="Heading 1" xfId="126" builtinId="16" customBuiltin="1"/>
    <cellStyle name="Heading 1 2" xfId="127" xr:uid="{00000000-0005-0000-0000-00007E000000}"/>
    <cellStyle name="Heading 2" xfId="128" builtinId="17" customBuiltin="1"/>
    <cellStyle name="Heading 2 2" xfId="129" xr:uid="{00000000-0005-0000-0000-000080000000}"/>
    <cellStyle name="Heading 3" xfId="130" builtinId="18" customBuiltin="1"/>
    <cellStyle name="Heading 3 2" xfId="131" xr:uid="{00000000-0005-0000-0000-000082000000}"/>
    <cellStyle name="Heading 4" xfId="132" builtinId="19" customBuiltin="1"/>
    <cellStyle name="Heading 4 2" xfId="133" xr:uid="{00000000-0005-0000-0000-000084000000}"/>
    <cellStyle name="Headline" xfId="134" xr:uid="{00000000-0005-0000-0000-000085000000}"/>
    <cellStyle name="Hyperlink" xfId="135" builtinId="8"/>
    <cellStyle name="Hyperlink 2" xfId="136" xr:uid="{00000000-0005-0000-0000-000087000000}"/>
    <cellStyle name="Hyperlink 2 2" xfId="137" xr:uid="{00000000-0005-0000-0000-000088000000}"/>
    <cellStyle name="Hyperlink 2 3" xfId="138" xr:uid="{00000000-0005-0000-0000-000089000000}"/>
    <cellStyle name="Hyperlink 2 4" xfId="139" xr:uid="{00000000-0005-0000-0000-00008A000000}"/>
    <cellStyle name="Hyperlink 3" xfId="140" xr:uid="{00000000-0005-0000-0000-00008B000000}"/>
    <cellStyle name="Hyperlink 3 2" xfId="141" xr:uid="{00000000-0005-0000-0000-00008C000000}"/>
    <cellStyle name="Hyperlink 3 3" xfId="142" xr:uid="{00000000-0005-0000-0000-00008D000000}"/>
    <cellStyle name="Hyperlink 4" xfId="143" xr:uid="{00000000-0005-0000-0000-00008E000000}"/>
    <cellStyle name="Hyperlink 4 2" xfId="144" xr:uid="{00000000-0005-0000-0000-00008F000000}"/>
    <cellStyle name="Hyperlink 4 3" xfId="145" xr:uid="{00000000-0005-0000-0000-000090000000}"/>
    <cellStyle name="Hyperlink 5" xfId="146" xr:uid="{00000000-0005-0000-0000-000091000000}"/>
    <cellStyle name="Hyperlink_Waste to landfills" xfId="147" xr:uid="{00000000-0005-0000-0000-000092000000}"/>
    <cellStyle name="Input" xfId="148" builtinId="20" customBuiltin="1"/>
    <cellStyle name="Input 2" xfId="149" xr:uid="{00000000-0005-0000-0000-000094000000}"/>
    <cellStyle name="KP_thin_border_dark_grey" xfId="150" xr:uid="{00000000-0005-0000-0000-000095000000}"/>
    <cellStyle name="Linked Cell" xfId="151" builtinId="24" customBuiltin="1"/>
    <cellStyle name="Linked Cell 2" xfId="152" xr:uid="{00000000-0005-0000-0000-000097000000}"/>
    <cellStyle name="Neutral" xfId="153" builtinId="28" customBuiltin="1"/>
    <cellStyle name="Neutral 2" xfId="154" xr:uid="{00000000-0005-0000-0000-000099000000}"/>
    <cellStyle name="Normal" xfId="0" builtinId="0" customBuiltin="1"/>
    <cellStyle name="Normal 10" xfId="155" xr:uid="{00000000-0005-0000-0000-00009B000000}"/>
    <cellStyle name="Normal 10 2" xfId="156" xr:uid="{00000000-0005-0000-0000-00009C000000}"/>
    <cellStyle name="Normal 10 3" xfId="157" xr:uid="{00000000-0005-0000-0000-00009D000000}"/>
    <cellStyle name="Normal 10 4" xfId="158" xr:uid="{00000000-0005-0000-0000-00009E000000}"/>
    <cellStyle name="Normal 10 5" xfId="159" xr:uid="{00000000-0005-0000-0000-00009F000000}"/>
    <cellStyle name="Normal 10 6" xfId="160" xr:uid="{00000000-0005-0000-0000-0000A0000000}"/>
    <cellStyle name="Normal 10 7" xfId="161" xr:uid="{00000000-0005-0000-0000-0000A1000000}"/>
    <cellStyle name="Normal 10 8" xfId="162" xr:uid="{00000000-0005-0000-0000-0000A2000000}"/>
    <cellStyle name="Normal 11" xfId="163" xr:uid="{00000000-0005-0000-0000-0000A3000000}"/>
    <cellStyle name="Normal 11 2" xfId="164" xr:uid="{00000000-0005-0000-0000-0000A4000000}"/>
    <cellStyle name="Normal 11 2 2" xfId="165" xr:uid="{00000000-0005-0000-0000-0000A5000000}"/>
    <cellStyle name="Normal 11 3" xfId="166" xr:uid="{00000000-0005-0000-0000-0000A6000000}"/>
    <cellStyle name="Normal 11 4" xfId="167" xr:uid="{00000000-0005-0000-0000-0000A7000000}"/>
    <cellStyle name="Normal 11 5" xfId="168" xr:uid="{00000000-0005-0000-0000-0000A8000000}"/>
    <cellStyle name="Normal 11 6" xfId="169" xr:uid="{00000000-0005-0000-0000-0000A9000000}"/>
    <cellStyle name="Normal 12" xfId="170" xr:uid="{00000000-0005-0000-0000-0000AA000000}"/>
    <cellStyle name="Normal 12 2" xfId="171" xr:uid="{00000000-0005-0000-0000-0000AB000000}"/>
    <cellStyle name="Normal 13" xfId="172" xr:uid="{00000000-0005-0000-0000-0000AC000000}"/>
    <cellStyle name="Normal 13 2" xfId="173" xr:uid="{00000000-0005-0000-0000-0000AD000000}"/>
    <cellStyle name="Normal 14" xfId="174" xr:uid="{00000000-0005-0000-0000-0000AE000000}"/>
    <cellStyle name="Normal 17" xfId="175" xr:uid="{00000000-0005-0000-0000-0000AF000000}"/>
    <cellStyle name="Normal 19" xfId="176" xr:uid="{00000000-0005-0000-0000-0000B0000000}"/>
    <cellStyle name="Normal 2" xfId="177" xr:uid="{00000000-0005-0000-0000-0000B1000000}"/>
    <cellStyle name="Normal 2 10" xfId="178" xr:uid="{00000000-0005-0000-0000-0000B2000000}"/>
    <cellStyle name="Normal 2 11" xfId="179" xr:uid="{00000000-0005-0000-0000-0000B3000000}"/>
    <cellStyle name="Normal 2 12" xfId="180" xr:uid="{00000000-0005-0000-0000-0000B4000000}"/>
    <cellStyle name="Normal 2 13" xfId="181" xr:uid="{00000000-0005-0000-0000-0000B5000000}"/>
    <cellStyle name="Normal 2 13 2" xfId="182" xr:uid="{00000000-0005-0000-0000-0000B6000000}"/>
    <cellStyle name="Normal 2 14" xfId="183" xr:uid="{00000000-0005-0000-0000-0000B7000000}"/>
    <cellStyle name="Normal 2 15" xfId="184" xr:uid="{00000000-0005-0000-0000-0000B8000000}"/>
    <cellStyle name="Normal 2 16" xfId="185" xr:uid="{00000000-0005-0000-0000-0000B9000000}"/>
    <cellStyle name="Normal 2 2" xfId="186" xr:uid="{00000000-0005-0000-0000-0000BA000000}"/>
    <cellStyle name="Normal 2 2 2" xfId="187" xr:uid="{00000000-0005-0000-0000-0000BB000000}"/>
    <cellStyle name="Normal 2 2 2 2" xfId="188" xr:uid="{00000000-0005-0000-0000-0000BC000000}"/>
    <cellStyle name="Normal 2 2 2 2 2" xfId="189" xr:uid="{00000000-0005-0000-0000-0000BD000000}"/>
    <cellStyle name="Normal 2 2 2 2 3" xfId="190" xr:uid="{00000000-0005-0000-0000-0000BE000000}"/>
    <cellStyle name="Normal 2 2 2 2 4" xfId="191" xr:uid="{00000000-0005-0000-0000-0000BF000000}"/>
    <cellStyle name="Normal 2 2 2 3" xfId="192" xr:uid="{00000000-0005-0000-0000-0000C0000000}"/>
    <cellStyle name="Normal 2 2 2 4" xfId="193" xr:uid="{00000000-0005-0000-0000-0000C1000000}"/>
    <cellStyle name="Normal 2 2 3" xfId="194" xr:uid="{00000000-0005-0000-0000-0000C2000000}"/>
    <cellStyle name="Normal 2 2 4" xfId="195" xr:uid="{00000000-0005-0000-0000-0000C3000000}"/>
    <cellStyle name="Normal 2 2 5" xfId="196" xr:uid="{00000000-0005-0000-0000-0000C4000000}"/>
    <cellStyle name="Normal 2 2 6" xfId="197" xr:uid="{00000000-0005-0000-0000-0000C5000000}"/>
    <cellStyle name="Normal 2 2 7" xfId="198" xr:uid="{00000000-0005-0000-0000-0000C6000000}"/>
    <cellStyle name="Normal 2 3" xfId="199" xr:uid="{00000000-0005-0000-0000-0000C7000000}"/>
    <cellStyle name="Normal 2 4" xfId="200" xr:uid="{00000000-0005-0000-0000-0000C8000000}"/>
    <cellStyle name="Normal 2 5" xfId="201" xr:uid="{00000000-0005-0000-0000-0000C9000000}"/>
    <cellStyle name="Normal 2 6" xfId="202" xr:uid="{00000000-0005-0000-0000-0000CA000000}"/>
    <cellStyle name="Normal 2 7" xfId="203" xr:uid="{00000000-0005-0000-0000-0000CB000000}"/>
    <cellStyle name="Normal 2 7 2" xfId="204" xr:uid="{00000000-0005-0000-0000-0000CC000000}"/>
    <cellStyle name="Normal 2 7 2 2" xfId="205" xr:uid="{00000000-0005-0000-0000-0000CD000000}"/>
    <cellStyle name="Normal 2 7 2 3" xfId="206" xr:uid="{00000000-0005-0000-0000-0000CE000000}"/>
    <cellStyle name="Normal 2 7 2 4" xfId="207" xr:uid="{00000000-0005-0000-0000-0000CF000000}"/>
    <cellStyle name="Normal 2 7 3" xfId="208" xr:uid="{00000000-0005-0000-0000-0000D0000000}"/>
    <cellStyle name="Normal 2 7 4" xfId="209" xr:uid="{00000000-0005-0000-0000-0000D1000000}"/>
    <cellStyle name="Normal 2 8" xfId="210" xr:uid="{00000000-0005-0000-0000-0000D2000000}"/>
    <cellStyle name="Normal 2 9" xfId="211" xr:uid="{00000000-0005-0000-0000-0000D3000000}"/>
    <cellStyle name="Normal 2_Greenhouse gas emissions" xfId="212" xr:uid="{00000000-0005-0000-0000-0000D4000000}"/>
    <cellStyle name="Normal 2_Loneliness" xfId="213" xr:uid="{00000000-0005-0000-0000-0000D5000000}"/>
    <cellStyle name="Normal 3" xfId="214" xr:uid="{00000000-0005-0000-0000-0000D6000000}"/>
    <cellStyle name="Normal 3 2" xfId="215" xr:uid="{00000000-0005-0000-0000-0000D7000000}"/>
    <cellStyle name="Normal 3 3" xfId="216" xr:uid="{00000000-0005-0000-0000-0000D8000000}"/>
    <cellStyle name="Normal 3 4" xfId="217" xr:uid="{00000000-0005-0000-0000-0000D9000000}"/>
    <cellStyle name="Normal 3 5" xfId="218" xr:uid="{00000000-0005-0000-0000-0000DA000000}"/>
    <cellStyle name="Normal 3 6" xfId="219" xr:uid="{00000000-0005-0000-0000-0000DB000000}"/>
    <cellStyle name="Normal 3 7" xfId="220" xr:uid="{00000000-0005-0000-0000-0000DC000000}"/>
    <cellStyle name="Normal 3 8" xfId="221" xr:uid="{00000000-0005-0000-0000-0000DD000000}"/>
    <cellStyle name="Normal 4" xfId="222" xr:uid="{00000000-0005-0000-0000-0000DE000000}"/>
    <cellStyle name="Normal 4 10" xfId="223" xr:uid="{00000000-0005-0000-0000-0000DF000000}"/>
    <cellStyle name="Normal 4 11" xfId="224" xr:uid="{00000000-0005-0000-0000-0000E0000000}"/>
    <cellStyle name="Normal 4 2" xfId="225" xr:uid="{00000000-0005-0000-0000-0000E1000000}"/>
    <cellStyle name="Normal 4 2 2" xfId="226" xr:uid="{00000000-0005-0000-0000-0000E2000000}"/>
    <cellStyle name="Normal 4 2 2 2" xfId="227" xr:uid="{00000000-0005-0000-0000-0000E3000000}"/>
    <cellStyle name="Normal 4 2 2 2 2" xfId="228" xr:uid="{00000000-0005-0000-0000-0000E4000000}"/>
    <cellStyle name="Normal 4 2 2 2 3" xfId="229" xr:uid="{00000000-0005-0000-0000-0000E5000000}"/>
    <cellStyle name="Normal 4 2 2 2 4" xfId="230" xr:uid="{00000000-0005-0000-0000-0000E6000000}"/>
    <cellStyle name="Normal 4 2 2 3" xfId="231" xr:uid="{00000000-0005-0000-0000-0000E7000000}"/>
    <cellStyle name="Normal 4 2 2 4" xfId="232" xr:uid="{00000000-0005-0000-0000-0000E8000000}"/>
    <cellStyle name="Normal 4 2 3" xfId="233" xr:uid="{00000000-0005-0000-0000-0000E9000000}"/>
    <cellStyle name="Normal 4 2 4" xfId="234" xr:uid="{00000000-0005-0000-0000-0000EA000000}"/>
    <cellStyle name="Normal 4 2 5" xfId="235" xr:uid="{00000000-0005-0000-0000-0000EB000000}"/>
    <cellStyle name="Normal 4 2 6" xfId="236" xr:uid="{00000000-0005-0000-0000-0000EC000000}"/>
    <cellStyle name="Normal 4 2 7" xfId="237" xr:uid="{00000000-0005-0000-0000-0000ED000000}"/>
    <cellStyle name="Normal 4 3" xfId="238" xr:uid="{00000000-0005-0000-0000-0000EE000000}"/>
    <cellStyle name="Normal 4 4" xfId="239" xr:uid="{00000000-0005-0000-0000-0000EF000000}"/>
    <cellStyle name="Normal 4 5" xfId="240" xr:uid="{00000000-0005-0000-0000-0000F0000000}"/>
    <cellStyle name="Normal 4 6" xfId="241" xr:uid="{00000000-0005-0000-0000-0000F1000000}"/>
    <cellStyle name="Normal 4 7" xfId="242" xr:uid="{00000000-0005-0000-0000-0000F2000000}"/>
    <cellStyle name="Normal 4 7 2" xfId="243" xr:uid="{00000000-0005-0000-0000-0000F3000000}"/>
    <cellStyle name="Normal 4 7 2 2" xfId="244" xr:uid="{00000000-0005-0000-0000-0000F4000000}"/>
    <cellStyle name="Normal 4 7 2 3" xfId="245" xr:uid="{00000000-0005-0000-0000-0000F5000000}"/>
    <cellStyle name="Normal 4 7 2 4" xfId="246" xr:uid="{00000000-0005-0000-0000-0000F6000000}"/>
    <cellStyle name="Normal 4 7 3" xfId="247" xr:uid="{00000000-0005-0000-0000-0000F7000000}"/>
    <cellStyle name="Normal 4 7 4" xfId="248" xr:uid="{00000000-0005-0000-0000-0000F8000000}"/>
    <cellStyle name="Normal 4 8" xfId="249" xr:uid="{00000000-0005-0000-0000-0000F9000000}"/>
    <cellStyle name="Normal 4 9" xfId="250" xr:uid="{00000000-0005-0000-0000-0000FA000000}"/>
    <cellStyle name="Normal 5" xfId="251" xr:uid="{00000000-0005-0000-0000-0000FB000000}"/>
    <cellStyle name="Normal 5 2" xfId="252" xr:uid="{00000000-0005-0000-0000-0000FC000000}"/>
    <cellStyle name="Normal 5 3" xfId="253" xr:uid="{00000000-0005-0000-0000-0000FD000000}"/>
    <cellStyle name="Normal 5 4" xfId="254" xr:uid="{00000000-0005-0000-0000-0000FE000000}"/>
    <cellStyle name="Normal 5 5" xfId="255" xr:uid="{00000000-0005-0000-0000-0000FF000000}"/>
    <cellStyle name="Normal 5 6" xfId="256" xr:uid="{00000000-0005-0000-0000-000000010000}"/>
    <cellStyle name="Normal 5 7" xfId="257" xr:uid="{00000000-0005-0000-0000-000001010000}"/>
    <cellStyle name="Normal 5 8" xfId="258" xr:uid="{00000000-0005-0000-0000-000002010000}"/>
    <cellStyle name="Normal 55" xfId="259" xr:uid="{00000000-0005-0000-0000-000003010000}"/>
    <cellStyle name="Normal 55 2" xfId="260" xr:uid="{00000000-0005-0000-0000-000004010000}"/>
    <cellStyle name="Normal 55 3" xfId="261" xr:uid="{00000000-0005-0000-0000-000005010000}"/>
    <cellStyle name="Normal 56" xfId="262" xr:uid="{00000000-0005-0000-0000-000006010000}"/>
    <cellStyle name="Normal 56 2" xfId="263" xr:uid="{00000000-0005-0000-0000-000007010000}"/>
    <cellStyle name="Normal 56 3" xfId="264" xr:uid="{00000000-0005-0000-0000-000008010000}"/>
    <cellStyle name="Normal 6" xfId="265" xr:uid="{00000000-0005-0000-0000-000009010000}"/>
    <cellStyle name="Normal 6 2" xfId="266" xr:uid="{00000000-0005-0000-0000-00000A010000}"/>
    <cellStyle name="Normal 6 3" xfId="267" xr:uid="{00000000-0005-0000-0000-00000B010000}"/>
    <cellStyle name="Normal 6 4" xfId="268" xr:uid="{00000000-0005-0000-0000-00000C010000}"/>
    <cellStyle name="Normal 6 5" xfId="269" xr:uid="{00000000-0005-0000-0000-00000D010000}"/>
    <cellStyle name="Normal 6 6" xfId="270" xr:uid="{00000000-0005-0000-0000-00000E010000}"/>
    <cellStyle name="Normal 6 7" xfId="271" xr:uid="{00000000-0005-0000-0000-00000F010000}"/>
    <cellStyle name="Normal 6 8" xfId="272" xr:uid="{00000000-0005-0000-0000-000010010000}"/>
    <cellStyle name="Normal 7" xfId="273" xr:uid="{00000000-0005-0000-0000-000011010000}"/>
    <cellStyle name="Normal 7 2" xfId="274" xr:uid="{00000000-0005-0000-0000-000012010000}"/>
    <cellStyle name="Normal 7 3" xfId="275" xr:uid="{00000000-0005-0000-0000-000013010000}"/>
    <cellStyle name="Normal 7 4" xfId="276" xr:uid="{00000000-0005-0000-0000-000014010000}"/>
    <cellStyle name="Normal 7 5" xfId="277" xr:uid="{00000000-0005-0000-0000-000015010000}"/>
    <cellStyle name="Normal 7 6" xfId="278" xr:uid="{00000000-0005-0000-0000-000016010000}"/>
    <cellStyle name="Normal 7 7" xfId="279" xr:uid="{00000000-0005-0000-0000-000017010000}"/>
    <cellStyle name="Normal 7 8" xfId="280" xr:uid="{00000000-0005-0000-0000-000018010000}"/>
    <cellStyle name="Normal 8" xfId="281" xr:uid="{00000000-0005-0000-0000-000019010000}"/>
    <cellStyle name="Normal 8 2" xfId="282" xr:uid="{00000000-0005-0000-0000-00001A010000}"/>
    <cellStyle name="Normal 8 3" xfId="283" xr:uid="{00000000-0005-0000-0000-00001B010000}"/>
    <cellStyle name="Normal 8 4" xfId="284" xr:uid="{00000000-0005-0000-0000-00001C010000}"/>
    <cellStyle name="Normal 8 5" xfId="285" xr:uid="{00000000-0005-0000-0000-00001D010000}"/>
    <cellStyle name="Normal 8 6" xfId="286" xr:uid="{00000000-0005-0000-0000-00001E010000}"/>
    <cellStyle name="Normal 8 7" xfId="287" xr:uid="{00000000-0005-0000-0000-00001F010000}"/>
    <cellStyle name="Normal 9" xfId="288" xr:uid="{00000000-0005-0000-0000-000020010000}"/>
    <cellStyle name="Normal 9 2" xfId="289" xr:uid="{00000000-0005-0000-0000-000021010000}"/>
    <cellStyle name="Normal 9 3" xfId="290" xr:uid="{00000000-0005-0000-0000-000022010000}"/>
    <cellStyle name="Normal 9 4" xfId="291" xr:uid="{00000000-0005-0000-0000-000023010000}"/>
    <cellStyle name="Normal 9 5" xfId="292" xr:uid="{00000000-0005-0000-0000-000024010000}"/>
    <cellStyle name="Normal 9 6" xfId="293" xr:uid="{00000000-0005-0000-0000-000025010000}"/>
    <cellStyle name="Normal 9 7" xfId="294" xr:uid="{00000000-0005-0000-0000-000026010000}"/>
    <cellStyle name="Normal GHG Numbers (0.00)" xfId="295" xr:uid="{00000000-0005-0000-0000-000027010000}"/>
    <cellStyle name="Normal GHG Textfiels Bold" xfId="296" xr:uid="{00000000-0005-0000-0000-000028010000}"/>
    <cellStyle name="Normal GHG Textfiels Bold 2" xfId="297" xr:uid="{00000000-0005-0000-0000-000029010000}"/>
    <cellStyle name="Normal GHG whole table" xfId="298" xr:uid="{00000000-0005-0000-0000-00002A010000}"/>
    <cellStyle name="Normal GHG-Shade" xfId="299" xr:uid="{00000000-0005-0000-0000-00002B010000}"/>
    <cellStyle name="Normál_Munka1" xfId="300" xr:uid="{00000000-0005-0000-0000-00002C010000}"/>
    <cellStyle name="Note" xfId="301" builtinId="10" customBuiltin="1"/>
    <cellStyle name="Note 2" xfId="302" xr:uid="{00000000-0005-0000-0000-00002E010000}"/>
    <cellStyle name="Output" xfId="303" builtinId="21" customBuiltin="1"/>
    <cellStyle name="Output 2" xfId="304" xr:uid="{00000000-0005-0000-0000-000030010000}"/>
    <cellStyle name="Pattern" xfId="305" xr:uid="{00000000-0005-0000-0000-000031010000}"/>
    <cellStyle name="Percent" xfId="306" builtinId="5"/>
    <cellStyle name="Percent 2" xfId="307" xr:uid="{00000000-0005-0000-0000-000033010000}"/>
    <cellStyle name="Percent 2 2" xfId="308" xr:uid="{00000000-0005-0000-0000-000034010000}"/>
    <cellStyle name="Percent 3" xfId="309" xr:uid="{00000000-0005-0000-0000-000035010000}"/>
    <cellStyle name="Percent 4" xfId="310" xr:uid="{00000000-0005-0000-0000-000036010000}"/>
    <cellStyle name="Percent 5" xfId="311" xr:uid="{00000000-0005-0000-0000-000037010000}"/>
    <cellStyle name="Percent 6" xfId="312" xr:uid="{00000000-0005-0000-0000-000038010000}"/>
    <cellStyle name="stub head" xfId="313" xr:uid="{00000000-0005-0000-0000-000039010000}"/>
    <cellStyle name="stub indent" xfId="314" xr:uid="{00000000-0005-0000-0000-00003A010000}"/>
    <cellStyle name="stub row" xfId="315" xr:uid="{00000000-0005-0000-0000-00003B010000}"/>
    <cellStyle name="Style2" xfId="316" xr:uid="{00000000-0005-0000-0000-00003C010000}"/>
    <cellStyle name="Style2 2" xfId="317" xr:uid="{00000000-0005-0000-0000-00003D010000}"/>
    <cellStyle name="Style2 3" xfId="318" xr:uid="{00000000-0005-0000-0000-00003E010000}"/>
    <cellStyle name="TableHeading" xfId="319" xr:uid="{00000000-0005-0000-0000-00003F010000}"/>
    <cellStyle name="TableSubHeading" xfId="320" xr:uid="{00000000-0005-0000-0000-000040010000}"/>
    <cellStyle name="Title" xfId="321" builtinId="15" customBuiltin="1"/>
    <cellStyle name="Title 2" xfId="322" xr:uid="{00000000-0005-0000-0000-000042010000}"/>
    <cellStyle name="Total" xfId="323" builtinId="25" customBuiltin="1"/>
    <cellStyle name="Total 2" xfId="324" xr:uid="{00000000-0005-0000-0000-000044010000}"/>
    <cellStyle name="Total row" xfId="325" xr:uid="{00000000-0005-0000-0000-000045010000}"/>
    <cellStyle name="Warning Text" xfId="326" builtinId="11" customBuiltin="1"/>
    <cellStyle name="Warning Text 2" xfId="327" xr:uid="{00000000-0005-0000-0000-000047010000}"/>
    <cellStyle name="Обычный_CRF Software v1.20" xfId="328" xr:uid="{00000000-0005-0000-0000-000048010000}"/>
  </cellStyles>
  <dxfs count="0"/>
  <tableStyles count="0" defaultTableStyle="TableStyleMedium9" defaultPivotStyle="PivotStyleLight16"/>
  <colors>
    <mruColors>
      <color rgb="FFC0C0C0"/>
      <color rgb="FFC4BD97"/>
      <color rgb="FF948A54"/>
      <color rgb="FFFFFFFF"/>
      <color rgb="FF6B2E8F"/>
      <color rgb="FFFF8233"/>
      <color rgb="FFFFB485"/>
      <color rgb="FFFFE6D6"/>
      <color rgb="FF40B0FF"/>
      <color rgb="FF8CD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_rels/chart3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32811561205451"/>
          <c:y val="0.14910103692659721"/>
          <c:w val="0.63066376976850491"/>
          <c:h val="0.71956501864775091"/>
        </c:manualLayout>
      </c:layout>
      <c:radarChart>
        <c:radarStyle val="marker"/>
        <c:varyColors val="0"/>
        <c:ser>
          <c:idx val="0"/>
          <c:order val="0"/>
          <c:tx>
            <c:strRef>
              <c:f>'WPI Progress Circle long-term'!$C$11</c:f>
              <c:strCache>
                <c:ptCount val="1"/>
                <c:pt idx="0">
                  <c:v>2007</c:v>
                </c:pt>
              </c:strCache>
            </c:strRef>
          </c:tx>
          <c:spPr>
            <a:ln w="25400">
              <a:solidFill>
                <a:srgbClr val="000000"/>
              </a:solidFill>
              <a:prstDash val="solid"/>
            </a:ln>
          </c:spPr>
          <c:marker>
            <c:symbol val="none"/>
          </c:marker>
          <c:cat>
            <c:strRef>
              <c:f>'WPI Progress Circle long-term'!$B$12:$B$76</c:f>
              <c:strCache>
                <c:ptCount val="64"/>
                <c:pt idx="1">
                  <c:v>Building activity</c:v>
                </c:pt>
                <c:pt idx="3">
                  <c:v>Employment</c:v>
                </c:pt>
                <c:pt idx="5">
                  <c:v>Income</c:v>
                </c:pt>
                <c:pt idx="7">
                  <c:v>Regional GDP</c:v>
                </c:pt>
                <c:pt idx="9">
                  <c:v>Water use</c:v>
                </c:pt>
                <c:pt idx="11">
                  <c:v>Community engagement</c:v>
                </c:pt>
                <c:pt idx="13">
                  <c:v>Community pride</c:v>
                </c:pt>
                <c:pt idx="15">
                  <c:v>Crime</c:v>
                </c:pt>
                <c:pt idx="17">
                  <c:v>Cultural respect</c:v>
                </c:pt>
                <c:pt idx="19">
                  <c:v>Educational attainment</c:v>
                </c:pt>
                <c:pt idx="21">
                  <c:v>Housing affordability</c:v>
                </c:pt>
                <c:pt idx="23">
                  <c:v>Income inequality</c:v>
                </c:pt>
                <c:pt idx="25">
                  <c:v>Life expectancy</c:v>
                </c:pt>
                <c:pt idx="27">
                  <c:v>Life satisfaction</c:v>
                </c:pt>
                <c:pt idx="29">
                  <c:v>Perceived health</c:v>
                </c:pt>
                <c:pt idx="31">
                  <c:v>Perceptions of safety</c:v>
                </c:pt>
                <c:pt idx="33">
                  <c:v>Physical activity</c:v>
                </c:pt>
                <c:pt idx="35">
                  <c:v>Public transport</c:v>
                </c:pt>
                <c:pt idx="37">
                  <c:v>Road safety</c:v>
                </c:pt>
                <c:pt idx="39">
                  <c:v>Social connectedness</c:v>
                </c:pt>
                <c:pt idx="41">
                  <c:v>Te Reo Māori speakers</c:v>
                </c:pt>
                <c:pt idx="43">
                  <c:v>Voter turnout</c:v>
                </c:pt>
                <c:pt idx="45">
                  <c:v>Air quality</c:v>
                </c:pt>
                <c:pt idx="47">
                  <c:v>Coastal ecosystem health</c:v>
                </c:pt>
                <c:pt idx="49">
                  <c:v>Environmental attitudes</c:v>
                </c:pt>
                <c:pt idx="51">
                  <c:v>Greenhouse gases</c:v>
                </c:pt>
                <c:pt idx="53">
                  <c:v>Indigenous vegetation</c:v>
                </c:pt>
                <c:pt idx="55">
                  <c:v>Recycling</c:v>
                </c:pt>
                <c:pt idx="57">
                  <c:v>Residential expansion</c:v>
                </c:pt>
                <c:pt idx="59">
                  <c:v>River water quality</c:v>
                </c:pt>
                <c:pt idx="61">
                  <c:v>Soil quality</c:v>
                </c:pt>
                <c:pt idx="63">
                  <c:v>Waste</c:v>
                </c:pt>
              </c:strCache>
            </c:strRef>
          </c:cat>
          <c:val>
            <c:numRef>
              <c:f>'WPI Progress Circle long-term'!$C$12:$C$76</c:f>
              <c:numCache>
                <c:formatCode>0.00</c:formatCode>
                <c:ptCount val="6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numCache>
            </c:numRef>
          </c:val>
          <c:extLst>
            <c:ext xmlns:c16="http://schemas.microsoft.com/office/drawing/2014/chart" uri="{C3380CC4-5D6E-409C-BE32-E72D297353CC}">
              <c16:uniqueId val="{00000000-3D2E-43C6-93FA-4D174EC7AE8D}"/>
            </c:ext>
          </c:extLst>
        </c:ser>
        <c:ser>
          <c:idx val="1"/>
          <c:order val="1"/>
          <c:tx>
            <c:strRef>
              <c:f>'WPI Progress Circle long-term'!$D$11</c:f>
              <c:strCache>
                <c:ptCount val="1"/>
                <c:pt idx="0">
                  <c:v>latest</c:v>
                </c:pt>
              </c:strCache>
            </c:strRef>
          </c:tx>
          <c:spPr>
            <a:ln w="12700">
              <a:solidFill>
                <a:srgbClr val="000000"/>
              </a:solidFill>
              <a:prstDash val="solid"/>
            </a:ln>
          </c:spPr>
          <c:marker>
            <c:symbol val="circle"/>
            <c:size val="7"/>
            <c:spPr>
              <a:solidFill>
                <a:srgbClr val="000000"/>
              </a:solidFill>
              <a:ln>
                <a:solidFill>
                  <a:srgbClr val="000000"/>
                </a:solidFill>
                <a:prstDash val="solid"/>
              </a:ln>
            </c:spPr>
          </c:marker>
          <c:dPt>
            <c:idx val="0"/>
            <c:marker>
              <c:spPr>
                <a:solidFill>
                  <a:srgbClr val="00B050"/>
                </a:solidFill>
                <a:ln>
                  <a:solidFill>
                    <a:srgbClr val="00B050"/>
                  </a:solidFill>
                  <a:prstDash val="solid"/>
                </a:ln>
              </c:spPr>
            </c:marker>
            <c:bubble3D val="0"/>
            <c:extLst>
              <c:ext xmlns:c16="http://schemas.microsoft.com/office/drawing/2014/chart" uri="{C3380CC4-5D6E-409C-BE32-E72D297353CC}">
                <c16:uniqueId val="{00000001-3D2E-43C6-93FA-4D174EC7AE8D}"/>
              </c:ext>
            </c:extLst>
          </c:dPt>
          <c:dPt>
            <c:idx val="1"/>
            <c:marker>
              <c:spPr>
                <a:solidFill>
                  <a:schemeClr val="bg2">
                    <a:lumMod val="50000"/>
                  </a:schemeClr>
                </a:solidFill>
                <a:ln>
                  <a:noFill/>
                  <a:prstDash val="solid"/>
                </a:ln>
              </c:spPr>
            </c:marker>
            <c:bubble3D val="0"/>
            <c:extLst>
              <c:ext xmlns:c16="http://schemas.microsoft.com/office/drawing/2014/chart" uri="{C3380CC4-5D6E-409C-BE32-E72D297353CC}">
                <c16:uniqueId val="{00000002-3D2E-43C6-93FA-4D174EC7AE8D}"/>
              </c:ext>
            </c:extLst>
          </c:dPt>
          <c:dPt>
            <c:idx val="2"/>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03-3D2E-43C6-93FA-4D174EC7AE8D}"/>
              </c:ext>
            </c:extLst>
          </c:dPt>
          <c:dPt>
            <c:idx val="3"/>
            <c:marker>
              <c:spPr>
                <a:solidFill>
                  <a:schemeClr val="bg2">
                    <a:lumMod val="50000"/>
                  </a:schemeClr>
                </a:solidFill>
                <a:ln>
                  <a:solidFill>
                    <a:srgbClr val="948A54"/>
                  </a:solidFill>
                  <a:prstDash val="solid"/>
                </a:ln>
              </c:spPr>
            </c:marker>
            <c:bubble3D val="0"/>
            <c:extLst>
              <c:ext xmlns:c16="http://schemas.microsoft.com/office/drawing/2014/chart" uri="{C3380CC4-5D6E-409C-BE32-E72D297353CC}">
                <c16:uniqueId val="{00000004-3D2E-43C6-93FA-4D174EC7AE8D}"/>
              </c:ext>
            </c:extLst>
          </c:dPt>
          <c:dPt>
            <c:idx val="4"/>
            <c:marker>
              <c:spPr>
                <a:solidFill>
                  <a:srgbClr val="00B050"/>
                </a:solidFill>
                <a:ln>
                  <a:solidFill>
                    <a:srgbClr val="00B050"/>
                  </a:solidFill>
                  <a:prstDash val="solid"/>
                </a:ln>
              </c:spPr>
            </c:marker>
            <c:bubble3D val="0"/>
            <c:extLst>
              <c:ext xmlns:c16="http://schemas.microsoft.com/office/drawing/2014/chart" uri="{C3380CC4-5D6E-409C-BE32-E72D297353CC}">
                <c16:uniqueId val="{00000005-3D2E-43C6-93FA-4D174EC7AE8D}"/>
              </c:ext>
            </c:extLst>
          </c:dPt>
          <c:dPt>
            <c:idx val="5"/>
            <c:marker>
              <c:spPr>
                <a:solidFill>
                  <a:srgbClr val="00B050"/>
                </a:solidFill>
                <a:ln>
                  <a:noFill/>
                  <a:prstDash val="solid"/>
                </a:ln>
              </c:spPr>
            </c:marker>
            <c:bubble3D val="0"/>
            <c:extLst>
              <c:ext xmlns:c16="http://schemas.microsoft.com/office/drawing/2014/chart" uri="{C3380CC4-5D6E-409C-BE32-E72D297353CC}">
                <c16:uniqueId val="{00000006-3D2E-43C6-93FA-4D174EC7AE8D}"/>
              </c:ext>
            </c:extLst>
          </c:dPt>
          <c:dPt>
            <c:idx val="6"/>
            <c:marker>
              <c:spPr>
                <a:solidFill>
                  <a:srgbClr val="00B050"/>
                </a:solidFill>
                <a:ln>
                  <a:solidFill>
                    <a:srgbClr val="00B050"/>
                  </a:solidFill>
                  <a:prstDash val="solid"/>
                </a:ln>
              </c:spPr>
            </c:marker>
            <c:bubble3D val="0"/>
            <c:extLst>
              <c:ext xmlns:c16="http://schemas.microsoft.com/office/drawing/2014/chart" uri="{C3380CC4-5D6E-409C-BE32-E72D297353CC}">
                <c16:uniqueId val="{00000007-3D2E-43C6-93FA-4D174EC7AE8D}"/>
              </c:ext>
            </c:extLst>
          </c:dPt>
          <c:dPt>
            <c:idx val="7"/>
            <c:marker>
              <c:spPr>
                <a:solidFill>
                  <a:srgbClr val="00B050"/>
                </a:solidFill>
                <a:ln>
                  <a:solidFill>
                    <a:srgbClr val="00B050"/>
                  </a:solidFill>
                  <a:prstDash val="solid"/>
                </a:ln>
              </c:spPr>
            </c:marker>
            <c:bubble3D val="0"/>
            <c:extLst>
              <c:ext xmlns:c16="http://schemas.microsoft.com/office/drawing/2014/chart" uri="{C3380CC4-5D6E-409C-BE32-E72D297353CC}">
                <c16:uniqueId val="{00000008-3D2E-43C6-93FA-4D174EC7AE8D}"/>
              </c:ext>
            </c:extLst>
          </c:dPt>
          <c:dPt>
            <c:idx val="8"/>
            <c:marker>
              <c:spPr>
                <a:solidFill>
                  <a:srgbClr val="FF0000"/>
                </a:solidFill>
                <a:ln>
                  <a:solidFill>
                    <a:srgbClr val="FF0000"/>
                  </a:solidFill>
                  <a:prstDash val="solid"/>
                </a:ln>
              </c:spPr>
            </c:marker>
            <c:bubble3D val="0"/>
            <c:extLst>
              <c:ext xmlns:c16="http://schemas.microsoft.com/office/drawing/2014/chart" uri="{C3380CC4-5D6E-409C-BE32-E72D297353CC}">
                <c16:uniqueId val="{00000009-3D2E-43C6-93FA-4D174EC7AE8D}"/>
              </c:ext>
            </c:extLst>
          </c:dPt>
          <c:dPt>
            <c:idx val="9"/>
            <c:marker>
              <c:spPr>
                <a:solidFill>
                  <a:srgbClr val="FF0000"/>
                </a:solidFill>
                <a:ln>
                  <a:noFill/>
                  <a:prstDash val="solid"/>
                </a:ln>
              </c:spPr>
            </c:marker>
            <c:bubble3D val="0"/>
            <c:extLst>
              <c:ext xmlns:c16="http://schemas.microsoft.com/office/drawing/2014/chart" uri="{C3380CC4-5D6E-409C-BE32-E72D297353CC}">
                <c16:uniqueId val="{0000000A-3D2E-43C6-93FA-4D174EC7AE8D}"/>
              </c:ext>
            </c:extLst>
          </c:dPt>
          <c:dPt>
            <c:idx val="10"/>
            <c:marker>
              <c:spPr>
                <a:solidFill>
                  <a:srgbClr val="FF0000"/>
                </a:solidFill>
                <a:ln>
                  <a:solidFill>
                    <a:srgbClr val="FF0000"/>
                  </a:solidFill>
                  <a:prstDash val="solid"/>
                </a:ln>
              </c:spPr>
            </c:marker>
            <c:bubble3D val="0"/>
            <c:extLst>
              <c:ext xmlns:c16="http://schemas.microsoft.com/office/drawing/2014/chart" uri="{C3380CC4-5D6E-409C-BE32-E72D297353CC}">
                <c16:uniqueId val="{0000000B-3D2E-43C6-93FA-4D174EC7AE8D}"/>
              </c:ext>
            </c:extLst>
          </c:dPt>
          <c:dPt>
            <c:idx val="11"/>
            <c:marker>
              <c:spPr>
                <a:solidFill>
                  <a:srgbClr val="FF0000"/>
                </a:solidFill>
                <a:ln>
                  <a:solidFill>
                    <a:srgbClr val="FF0000"/>
                  </a:solidFill>
                  <a:prstDash val="solid"/>
                </a:ln>
              </c:spPr>
            </c:marker>
            <c:bubble3D val="0"/>
            <c:extLst>
              <c:ext xmlns:c16="http://schemas.microsoft.com/office/drawing/2014/chart" uri="{C3380CC4-5D6E-409C-BE32-E72D297353CC}">
                <c16:uniqueId val="{0000000C-3D2E-43C6-93FA-4D174EC7AE8D}"/>
              </c:ext>
            </c:extLst>
          </c:dPt>
          <c:dPt>
            <c:idx val="12"/>
            <c:marker>
              <c:spPr>
                <a:solidFill>
                  <a:srgbClr val="FF0000"/>
                </a:solidFill>
                <a:ln>
                  <a:solidFill>
                    <a:srgbClr val="FF0000"/>
                  </a:solidFill>
                  <a:prstDash val="solid"/>
                </a:ln>
              </c:spPr>
            </c:marker>
            <c:bubble3D val="0"/>
            <c:extLst>
              <c:ext xmlns:c16="http://schemas.microsoft.com/office/drawing/2014/chart" uri="{C3380CC4-5D6E-409C-BE32-E72D297353CC}">
                <c16:uniqueId val="{0000000D-3D2E-43C6-93FA-4D174EC7AE8D}"/>
              </c:ext>
            </c:extLst>
          </c:dPt>
          <c:dPt>
            <c:idx val="13"/>
            <c:marker>
              <c:spPr>
                <a:solidFill>
                  <a:srgbClr val="FF0000"/>
                </a:solidFill>
                <a:ln>
                  <a:solidFill>
                    <a:srgbClr val="FF0000"/>
                  </a:solidFill>
                  <a:prstDash val="solid"/>
                </a:ln>
              </c:spPr>
            </c:marker>
            <c:bubble3D val="0"/>
            <c:extLst>
              <c:ext xmlns:c16="http://schemas.microsoft.com/office/drawing/2014/chart" uri="{C3380CC4-5D6E-409C-BE32-E72D297353CC}">
                <c16:uniqueId val="{0000000E-3D2E-43C6-93FA-4D174EC7AE8D}"/>
              </c:ext>
            </c:extLst>
          </c:dPt>
          <c:dPt>
            <c:idx val="14"/>
            <c:marker>
              <c:spPr>
                <a:solidFill>
                  <a:srgbClr val="00B050"/>
                </a:solidFill>
                <a:ln>
                  <a:solidFill>
                    <a:srgbClr val="00B050"/>
                  </a:solidFill>
                  <a:prstDash val="solid"/>
                </a:ln>
              </c:spPr>
            </c:marker>
            <c:bubble3D val="0"/>
            <c:extLst>
              <c:ext xmlns:c16="http://schemas.microsoft.com/office/drawing/2014/chart" uri="{C3380CC4-5D6E-409C-BE32-E72D297353CC}">
                <c16:uniqueId val="{0000000F-3D2E-43C6-93FA-4D174EC7AE8D}"/>
              </c:ext>
            </c:extLst>
          </c:dPt>
          <c:dPt>
            <c:idx val="15"/>
            <c:marker>
              <c:spPr>
                <a:solidFill>
                  <a:srgbClr val="FF0000"/>
                </a:solidFill>
                <a:ln>
                  <a:noFill/>
                  <a:prstDash val="solid"/>
                </a:ln>
              </c:spPr>
            </c:marker>
            <c:bubble3D val="0"/>
            <c:spPr>
              <a:ln w="12700">
                <a:solidFill>
                  <a:srgbClr val="FF0000"/>
                </a:solidFill>
                <a:prstDash val="solid"/>
              </a:ln>
            </c:spPr>
            <c:extLst>
              <c:ext xmlns:c16="http://schemas.microsoft.com/office/drawing/2014/chart" uri="{C3380CC4-5D6E-409C-BE32-E72D297353CC}">
                <c16:uniqueId val="{00000010-3D2E-43C6-93FA-4D174EC7AE8D}"/>
              </c:ext>
            </c:extLst>
          </c:dPt>
          <c:dPt>
            <c:idx val="16"/>
            <c:marker>
              <c:spPr>
                <a:solidFill>
                  <a:srgbClr val="FF0000"/>
                </a:solidFill>
                <a:ln>
                  <a:solidFill>
                    <a:srgbClr val="FF0000"/>
                  </a:solidFill>
                  <a:prstDash val="solid"/>
                </a:ln>
              </c:spPr>
            </c:marker>
            <c:bubble3D val="0"/>
            <c:extLst>
              <c:ext xmlns:c16="http://schemas.microsoft.com/office/drawing/2014/chart" uri="{C3380CC4-5D6E-409C-BE32-E72D297353CC}">
                <c16:uniqueId val="{00000011-3D2E-43C6-93FA-4D174EC7AE8D}"/>
              </c:ext>
            </c:extLst>
          </c:dPt>
          <c:dPt>
            <c:idx val="17"/>
            <c:marker>
              <c:spPr>
                <a:solidFill>
                  <a:srgbClr val="FF0000"/>
                </a:solidFill>
                <a:ln>
                  <a:noFill/>
                  <a:prstDash val="solid"/>
                </a:ln>
              </c:spPr>
            </c:marker>
            <c:bubble3D val="0"/>
            <c:extLst>
              <c:ext xmlns:c16="http://schemas.microsoft.com/office/drawing/2014/chart" uri="{C3380CC4-5D6E-409C-BE32-E72D297353CC}">
                <c16:uniqueId val="{00000012-3D2E-43C6-93FA-4D174EC7AE8D}"/>
              </c:ext>
            </c:extLst>
          </c:dPt>
          <c:dPt>
            <c:idx val="18"/>
            <c:marker>
              <c:spPr>
                <a:solidFill>
                  <a:srgbClr val="00B050"/>
                </a:solidFill>
                <a:ln>
                  <a:solidFill>
                    <a:srgbClr val="00B050"/>
                  </a:solidFill>
                  <a:prstDash val="solid"/>
                </a:ln>
              </c:spPr>
            </c:marker>
            <c:bubble3D val="0"/>
            <c:extLst>
              <c:ext xmlns:c16="http://schemas.microsoft.com/office/drawing/2014/chart" uri="{C3380CC4-5D6E-409C-BE32-E72D297353CC}">
                <c16:uniqueId val="{00000013-3D2E-43C6-93FA-4D174EC7AE8D}"/>
              </c:ext>
            </c:extLst>
          </c:dPt>
          <c:dPt>
            <c:idx val="19"/>
            <c:marker>
              <c:spPr>
                <a:solidFill>
                  <a:srgbClr val="00B050"/>
                </a:solidFill>
                <a:ln>
                  <a:solidFill>
                    <a:srgbClr val="00B050"/>
                  </a:solidFill>
                  <a:prstDash val="solid"/>
                </a:ln>
              </c:spPr>
            </c:marker>
            <c:bubble3D val="0"/>
            <c:extLst>
              <c:ext xmlns:c16="http://schemas.microsoft.com/office/drawing/2014/chart" uri="{C3380CC4-5D6E-409C-BE32-E72D297353CC}">
                <c16:uniqueId val="{00000014-3D2E-43C6-93FA-4D174EC7AE8D}"/>
              </c:ext>
            </c:extLst>
          </c:dPt>
          <c:dPt>
            <c:idx val="20"/>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5-3D2E-43C6-93FA-4D174EC7AE8D}"/>
              </c:ext>
            </c:extLst>
          </c:dPt>
          <c:dPt>
            <c:idx val="21"/>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6-3D2E-43C6-93FA-4D174EC7AE8D}"/>
              </c:ext>
            </c:extLst>
          </c:dPt>
          <c:dPt>
            <c:idx val="22"/>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7-3D2E-43C6-93FA-4D174EC7AE8D}"/>
              </c:ext>
            </c:extLst>
          </c:dPt>
          <c:dPt>
            <c:idx val="23"/>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8-3D2E-43C6-93FA-4D174EC7AE8D}"/>
              </c:ext>
            </c:extLst>
          </c:dPt>
          <c:dPt>
            <c:idx val="24"/>
            <c:marker>
              <c:spPr>
                <a:solidFill>
                  <a:srgbClr val="00B050"/>
                </a:solidFill>
                <a:ln>
                  <a:solidFill>
                    <a:srgbClr val="00B050"/>
                  </a:solidFill>
                  <a:prstDash val="solid"/>
                </a:ln>
              </c:spPr>
            </c:marker>
            <c:bubble3D val="0"/>
            <c:extLst>
              <c:ext xmlns:c16="http://schemas.microsoft.com/office/drawing/2014/chart" uri="{C3380CC4-5D6E-409C-BE32-E72D297353CC}">
                <c16:uniqueId val="{00000019-3D2E-43C6-93FA-4D174EC7AE8D}"/>
              </c:ext>
            </c:extLst>
          </c:dPt>
          <c:dPt>
            <c:idx val="25"/>
            <c:marker>
              <c:spPr>
                <a:solidFill>
                  <a:srgbClr val="00B050"/>
                </a:solidFill>
                <a:ln>
                  <a:solidFill>
                    <a:srgbClr val="00B050"/>
                  </a:solidFill>
                  <a:prstDash val="solid"/>
                </a:ln>
              </c:spPr>
            </c:marker>
            <c:bubble3D val="0"/>
            <c:extLst>
              <c:ext xmlns:c16="http://schemas.microsoft.com/office/drawing/2014/chart" uri="{C3380CC4-5D6E-409C-BE32-E72D297353CC}">
                <c16:uniqueId val="{0000001A-3D2E-43C6-93FA-4D174EC7AE8D}"/>
              </c:ext>
            </c:extLst>
          </c:dPt>
          <c:dPt>
            <c:idx val="26"/>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B-3D2E-43C6-93FA-4D174EC7AE8D}"/>
              </c:ext>
            </c:extLst>
          </c:dPt>
          <c:dPt>
            <c:idx val="27"/>
            <c:marker>
              <c:spPr>
                <a:solidFill>
                  <a:srgbClr val="FF0000"/>
                </a:solidFill>
                <a:ln>
                  <a:noFill/>
                  <a:prstDash val="solid"/>
                </a:ln>
              </c:spPr>
            </c:marker>
            <c:bubble3D val="0"/>
            <c:extLst>
              <c:ext xmlns:c16="http://schemas.microsoft.com/office/drawing/2014/chart" uri="{C3380CC4-5D6E-409C-BE32-E72D297353CC}">
                <c16:uniqueId val="{0000001C-3D2E-43C6-93FA-4D174EC7AE8D}"/>
              </c:ext>
            </c:extLst>
          </c:dPt>
          <c:dPt>
            <c:idx val="28"/>
            <c:marker>
              <c:spPr>
                <a:solidFill>
                  <a:srgbClr val="FF0000"/>
                </a:solidFill>
                <a:ln>
                  <a:solidFill>
                    <a:srgbClr val="FF0000"/>
                  </a:solidFill>
                  <a:prstDash val="solid"/>
                </a:ln>
              </c:spPr>
            </c:marker>
            <c:bubble3D val="0"/>
            <c:extLst>
              <c:ext xmlns:c16="http://schemas.microsoft.com/office/drawing/2014/chart" uri="{C3380CC4-5D6E-409C-BE32-E72D297353CC}">
                <c16:uniqueId val="{0000001D-3D2E-43C6-93FA-4D174EC7AE8D}"/>
              </c:ext>
            </c:extLst>
          </c:dPt>
          <c:dPt>
            <c:idx val="29"/>
            <c:marker>
              <c:spPr>
                <a:solidFill>
                  <a:srgbClr val="FF0000"/>
                </a:solidFill>
                <a:ln>
                  <a:solidFill>
                    <a:srgbClr val="FF0000"/>
                  </a:solidFill>
                  <a:prstDash val="solid"/>
                </a:ln>
              </c:spPr>
            </c:marker>
            <c:bubble3D val="0"/>
            <c:spPr>
              <a:ln w="12700">
                <a:solidFill>
                  <a:srgbClr val="00B050"/>
                </a:solidFill>
                <a:prstDash val="solid"/>
              </a:ln>
            </c:spPr>
            <c:extLst>
              <c:ext xmlns:c16="http://schemas.microsoft.com/office/drawing/2014/chart" uri="{C3380CC4-5D6E-409C-BE32-E72D297353CC}">
                <c16:uniqueId val="{0000001F-3D2E-43C6-93FA-4D174EC7AE8D}"/>
              </c:ext>
            </c:extLst>
          </c:dPt>
          <c:dPt>
            <c:idx val="30"/>
            <c:marker>
              <c:spPr>
                <a:solidFill>
                  <a:srgbClr val="00B050"/>
                </a:solidFill>
                <a:ln>
                  <a:solidFill>
                    <a:srgbClr val="00B050"/>
                  </a:solidFill>
                  <a:prstDash val="solid"/>
                </a:ln>
              </c:spPr>
            </c:marker>
            <c:bubble3D val="0"/>
            <c:extLst>
              <c:ext xmlns:c16="http://schemas.microsoft.com/office/drawing/2014/chart" uri="{C3380CC4-5D6E-409C-BE32-E72D297353CC}">
                <c16:uniqueId val="{00000020-3D2E-43C6-93FA-4D174EC7AE8D}"/>
              </c:ext>
            </c:extLst>
          </c:dPt>
          <c:dPt>
            <c:idx val="31"/>
            <c:marker>
              <c:spPr>
                <a:solidFill>
                  <a:srgbClr val="00B050"/>
                </a:solidFill>
                <a:ln>
                  <a:solidFill>
                    <a:srgbClr val="00B050"/>
                  </a:solidFill>
                  <a:prstDash val="solid"/>
                </a:ln>
              </c:spPr>
            </c:marker>
            <c:bubble3D val="0"/>
            <c:extLst>
              <c:ext xmlns:c16="http://schemas.microsoft.com/office/drawing/2014/chart" uri="{C3380CC4-5D6E-409C-BE32-E72D297353CC}">
                <c16:uniqueId val="{00000021-3D2E-43C6-93FA-4D174EC7AE8D}"/>
              </c:ext>
            </c:extLst>
          </c:dPt>
          <c:dPt>
            <c:idx val="32"/>
            <c:marker>
              <c:spPr>
                <a:solidFill>
                  <a:srgbClr val="FF0000"/>
                </a:solidFill>
                <a:ln>
                  <a:solidFill>
                    <a:srgbClr val="FF0000"/>
                  </a:solidFill>
                  <a:prstDash val="solid"/>
                </a:ln>
              </c:spPr>
            </c:marker>
            <c:bubble3D val="0"/>
            <c:extLst>
              <c:ext xmlns:c16="http://schemas.microsoft.com/office/drawing/2014/chart" uri="{C3380CC4-5D6E-409C-BE32-E72D297353CC}">
                <c16:uniqueId val="{00000022-3D2E-43C6-93FA-4D174EC7AE8D}"/>
              </c:ext>
            </c:extLst>
          </c:dPt>
          <c:dPt>
            <c:idx val="33"/>
            <c:marker>
              <c:spPr>
                <a:solidFill>
                  <a:srgbClr val="FF0000"/>
                </a:solidFill>
                <a:ln>
                  <a:solidFill>
                    <a:srgbClr val="FF0000"/>
                  </a:solidFill>
                  <a:prstDash val="solid"/>
                </a:ln>
              </c:spPr>
            </c:marker>
            <c:bubble3D val="0"/>
            <c:extLst>
              <c:ext xmlns:c16="http://schemas.microsoft.com/office/drawing/2014/chart" uri="{C3380CC4-5D6E-409C-BE32-E72D297353CC}">
                <c16:uniqueId val="{00000023-3D2E-43C6-93FA-4D174EC7AE8D}"/>
              </c:ext>
            </c:extLst>
          </c:dPt>
          <c:dPt>
            <c:idx val="34"/>
            <c:marker>
              <c:spPr>
                <a:solidFill>
                  <a:srgbClr val="FF0000"/>
                </a:solidFill>
                <a:ln>
                  <a:solidFill>
                    <a:srgbClr val="FF0000"/>
                  </a:solidFill>
                  <a:prstDash val="solid"/>
                </a:ln>
              </c:spPr>
            </c:marker>
            <c:bubble3D val="0"/>
            <c:extLst>
              <c:ext xmlns:c16="http://schemas.microsoft.com/office/drawing/2014/chart" uri="{C3380CC4-5D6E-409C-BE32-E72D297353CC}">
                <c16:uniqueId val="{00000024-3D2E-43C6-93FA-4D174EC7AE8D}"/>
              </c:ext>
            </c:extLst>
          </c:dPt>
          <c:dPt>
            <c:idx val="35"/>
            <c:marker>
              <c:spPr>
                <a:solidFill>
                  <a:srgbClr val="FF0000"/>
                </a:solidFill>
                <a:ln>
                  <a:noFill/>
                  <a:prstDash val="solid"/>
                </a:ln>
              </c:spPr>
            </c:marker>
            <c:bubble3D val="0"/>
            <c:extLst>
              <c:ext xmlns:c16="http://schemas.microsoft.com/office/drawing/2014/chart" uri="{C3380CC4-5D6E-409C-BE32-E72D297353CC}">
                <c16:uniqueId val="{00000025-3D2E-43C6-93FA-4D174EC7AE8D}"/>
              </c:ext>
            </c:extLst>
          </c:dPt>
          <c:dPt>
            <c:idx val="36"/>
            <c:marker>
              <c:spPr>
                <a:solidFill>
                  <a:srgbClr val="00B050"/>
                </a:solidFill>
                <a:ln>
                  <a:solidFill>
                    <a:srgbClr val="000000"/>
                  </a:solidFill>
                  <a:prstDash val="solid"/>
                </a:ln>
              </c:spPr>
            </c:marker>
            <c:bubble3D val="0"/>
            <c:extLst>
              <c:ext xmlns:c16="http://schemas.microsoft.com/office/drawing/2014/chart" uri="{C3380CC4-5D6E-409C-BE32-E72D297353CC}">
                <c16:uniqueId val="{00000026-3D2E-43C6-93FA-4D174EC7AE8D}"/>
              </c:ext>
            </c:extLst>
          </c:dPt>
          <c:dPt>
            <c:idx val="37"/>
            <c:marker>
              <c:spPr>
                <a:solidFill>
                  <a:srgbClr val="00B050"/>
                </a:solidFill>
                <a:ln>
                  <a:noFill/>
                  <a:prstDash val="solid"/>
                </a:ln>
              </c:spPr>
            </c:marker>
            <c:bubble3D val="0"/>
            <c:extLst>
              <c:ext xmlns:c16="http://schemas.microsoft.com/office/drawing/2014/chart" uri="{C3380CC4-5D6E-409C-BE32-E72D297353CC}">
                <c16:uniqueId val="{00000027-3D2E-43C6-93FA-4D174EC7AE8D}"/>
              </c:ext>
            </c:extLst>
          </c:dPt>
          <c:dPt>
            <c:idx val="38"/>
            <c:marker>
              <c:spPr>
                <a:solidFill>
                  <a:srgbClr val="FF0000"/>
                </a:solidFill>
                <a:ln>
                  <a:solidFill>
                    <a:srgbClr val="FF0000"/>
                  </a:solidFill>
                  <a:prstDash val="solid"/>
                </a:ln>
              </c:spPr>
            </c:marker>
            <c:bubble3D val="0"/>
            <c:extLst>
              <c:ext xmlns:c16="http://schemas.microsoft.com/office/drawing/2014/chart" uri="{C3380CC4-5D6E-409C-BE32-E72D297353CC}">
                <c16:uniqueId val="{00000028-3D2E-43C6-93FA-4D174EC7AE8D}"/>
              </c:ext>
            </c:extLst>
          </c:dPt>
          <c:dPt>
            <c:idx val="39"/>
            <c:marker>
              <c:spPr>
                <a:solidFill>
                  <a:srgbClr val="FF0000"/>
                </a:solidFill>
                <a:ln>
                  <a:noFill/>
                  <a:prstDash val="solid"/>
                </a:ln>
              </c:spPr>
            </c:marker>
            <c:bubble3D val="0"/>
            <c:extLst>
              <c:ext xmlns:c16="http://schemas.microsoft.com/office/drawing/2014/chart" uri="{C3380CC4-5D6E-409C-BE32-E72D297353CC}">
                <c16:uniqueId val="{00000029-3D2E-43C6-93FA-4D174EC7AE8D}"/>
              </c:ext>
            </c:extLst>
          </c:dPt>
          <c:dPt>
            <c:idx val="40"/>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2A-3D2E-43C6-93FA-4D174EC7AE8D}"/>
              </c:ext>
            </c:extLst>
          </c:dPt>
          <c:dPt>
            <c:idx val="41"/>
            <c:marker>
              <c:spPr>
                <a:solidFill>
                  <a:srgbClr val="948A54"/>
                </a:solidFill>
                <a:ln>
                  <a:noFill/>
                  <a:prstDash val="solid"/>
                </a:ln>
              </c:spPr>
            </c:marker>
            <c:bubble3D val="0"/>
            <c:extLst>
              <c:ext xmlns:c16="http://schemas.microsoft.com/office/drawing/2014/chart" uri="{C3380CC4-5D6E-409C-BE32-E72D297353CC}">
                <c16:uniqueId val="{0000002B-3D2E-43C6-93FA-4D174EC7AE8D}"/>
              </c:ext>
            </c:extLst>
          </c:dPt>
          <c:dPt>
            <c:idx val="42"/>
            <c:marker>
              <c:spPr>
                <a:solidFill>
                  <a:srgbClr val="00B050"/>
                </a:solidFill>
                <a:ln>
                  <a:solidFill>
                    <a:srgbClr val="00B050"/>
                  </a:solidFill>
                  <a:prstDash val="solid"/>
                </a:ln>
              </c:spPr>
            </c:marker>
            <c:bubble3D val="0"/>
            <c:extLst>
              <c:ext xmlns:c16="http://schemas.microsoft.com/office/drawing/2014/chart" uri="{C3380CC4-5D6E-409C-BE32-E72D297353CC}">
                <c16:uniqueId val="{0000002C-3D2E-43C6-93FA-4D174EC7AE8D}"/>
              </c:ext>
            </c:extLst>
          </c:dPt>
          <c:dPt>
            <c:idx val="43"/>
            <c:marker>
              <c:spPr>
                <a:solidFill>
                  <a:srgbClr val="948A54"/>
                </a:solidFill>
                <a:ln>
                  <a:noFill/>
                  <a:prstDash val="solid"/>
                </a:ln>
              </c:spPr>
            </c:marker>
            <c:bubble3D val="0"/>
            <c:extLst>
              <c:ext xmlns:c16="http://schemas.microsoft.com/office/drawing/2014/chart" uri="{C3380CC4-5D6E-409C-BE32-E72D297353CC}">
                <c16:uniqueId val="{0000002D-3D2E-43C6-93FA-4D174EC7AE8D}"/>
              </c:ext>
            </c:extLst>
          </c:dPt>
          <c:dPt>
            <c:idx val="44"/>
            <c:marker>
              <c:spPr>
                <a:solidFill>
                  <a:srgbClr val="00B050"/>
                </a:solidFill>
                <a:ln>
                  <a:solidFill>
                    <a:srgbClr val="00B050"/>
                  </a:solidFill>
                  <a:prstDash val="solid"/>
                </a:ln>
              </c:spPr>
            </c:marker>
            <c:bubble3D val="0"/>
            <c:extLst>
              <c:ext xmlns:c16="http://schemas.microsoft.com/office/drawing/2014/chart" uri="{C3380CC4-5D6E-409C-BE32-E72D297353CC}">
                <c16:uniqueId val="{0000002E-3D2E-43C6-93FA-4D174EC7AE8D}"/>
              </c:ext>
            </c:extLst>
          </c:dPt>
          <c:dPt>
            <c:idx val="45"/>
            <c:marker>
              <c:spPr>
                <a:solidFill>
                  <a:schemeClr val="bg2">
                    <a:lumMod val="50000"/>
                  </a:schemeClr>
                </a:solidFill>
                <a:ln>
                  <a:noFill/>
                  <a:prstDash val="solid"/>
                </a:ln>
              </c:spPr>
            </c:marker>
            <c:bubble3D val="0"/>
            <c:extLst>
              <c:ext xmlns:c16="http://schemas.microsoft.com/office/drawing/2014/chart" uri="{C3380CC4-5D6E-409C-BE32-E72D297353CC}">
                <c16:uniqueId val="{0000002F-3D2E-43C6-93FA-4D174EC7AE8D}"/>
              </c:ext>
            </c:extLst>
          </c:dPt>
          <c:dPt>
            <c:idx val="46"/>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0-3D2E-43C6-93FA-4D174EC7AE8D}"/>
              </c:ext>
            </c:extLst>
          </c:dPt>
          <c:dPt>
            <c:idx val="47"/>
            <c:marker>
              <c:spPr>
                <a:solidFill>
                  <a:schemeClr val="bg2">
                    <a:lumMod val="50000"/>
                  </a:schemeClr>
                </a:solidFill>
                <a:ln>
                  <a:noFill/>
                  <a:prstDash val="solid"/>
                </a:ln>
              </c:spPr>
            </c:marker>
            <c:bubble3D val="0"/>
            <c:extLst>
              <c:ext xmlns:c16="http://schemas.microsoft.com/office/drawing/2014/chart" uri="{C3380CC4-5D6E-409C-BE32-E72D297353CC}">
                <c16:uniqueId val="{00000031-3D2E-43C6-93FA-4D174EC7AE8D}"/>
              </c:ext>
            </c:extLst>
          </c:dPt>
          <c:dPt>
            <c:idx val="48"/>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2-3D2E-43C6-93FA-4D174EC7AE8D}"/>
              </c:ext>
            </c:extLst>
          </c:dPt>
          <c:dPt>
            <c:idx val="49"/>
            <c:marker>
              <c:spPr>
                <a:solidFill>
                  <a:schemeClr val="bg2">
                    <a:lumMod val="50000"/>
                  </a:schemeClr>
                </a:solidFill>
                <a:ln>
                  <a:noFill/>
                  <a:prstDash val="solid"/>
                </a:ln>
              </c:spPr>
            </c:marker>
            <c:bubble3D val="0"/>
            <c:extLst>
              <c:ext xmlns:c16="http://schemas.microsoft.com/office/drawing/2014/chart" uri="{C3380CC4-5D6E-409C-BE32-E72D297353CC}">
                <c16:uniqueId val="{00000033-3D2E-43C6-93FA-4D174EC7AE8D}"/>
              </c:ext>
            </c:extLst>
          </c:dPt>
          <c:dPt>
            <c:idx val="50"/>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4-3D2E-43C6-93FA-4D174EC7AE8D}"/>
              </c:ext>
            </c:extLst>
          </c:dPt>
          <c:dPt>
            <c:idx val="51"/>
            <c:marker>
              <c:spPr>
                <a:solidFill>
                  <a:schemeClr val="bg2">
                    <a:lumMod val="50000"/>
                  </a:schemeClr>
                </a:solidFill>
                <a:ln>
                  <a:noFill/>
                  <a:prstDash val="solid"/>
                </a:ln>
              </c:spPr>
            </c:marker>
            <c:bubble3D val="0"/>
            <c:extLst>
              <c:ext xmlns:c16="http://schemas.microsoft.com/office/drawing/2014/chart" uri="{C3380CC4-5D6E-409C-BE32-E72D297353CC}">
                <c16:uniqueId val="{00000035-3D2E-43C6-93FA-4D174EC7AE8D}"/>
              </c:ext>
            </c:extLst>
          </c:dPt>
          <c:dPt>
            <c:idx val="52"/>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6-3D2E-43C6-93FA-4D174EC7AE8D}"/>
              </c:ext>
            </c:extLst>
          </c:dPt>
          <c:dPt>
            <c:idx val="53"/>
            <c:marker>
              <c:spPr>
                <a:solidFill>
                  <a:schemeClr val="bg2">
                    <a:lumMod val="50000"/>
                  </a:schemeClr>
                </a:solidFill>
                <a:ln>
                  <a:noFill/>
                  <a:prstDash val="solid"/>
                </a:ln>
              </c:spPr>
            </c:marker>
            <c:bubble3D val="0"/>
            <c:extLst>
              <c:ext xmlns:c16="http://schemas.microsoft.com/office/drawing/2014/chart" uri="{C3380CC4-5D6E-409C-BE32-E72D297353CC}">
                <c16:uniqueId val="{00000037-3D2E-43C6-93FA-4D174EC7AE8D}"/>
              </c:ext>
            </c:extLst>
          </c:dPt>
          <c:dPt>
            <c:idx val="54"/>
            <c:marker>
              <c:spPr>
                <a:solidFill>
                  <a:srgbClr val="00B050"/>
                </a:solidFill>
                <a:ln>
                  <a:solidFill>
                    <a:srgbClr val="00B050"/>
                  </a:solidFill>
                  <a:prstDash val="solid"/>
                </a:ln>
              </c:spPr>
            </c:marker>
            <c:bubble3D val="0"/>
            <c:extLst>
              <c:ext xmlns:c16="http://schemas.microsoft.com/office/drawing/2014/chart" uri="{C3380CC4-5D6E-409C-BE32-E72D297353CC}">
                <c16:uniqueId val="{00000038-3D2E-43C6-93FA-4D174EC7AE8D}"/>
              </c:ext>
            </c:extLst>
          </c:dPt>
          <c:dPt>
            <c:idx val="55"/>
            <c:marker>
              <c:spPr>
                <a:solidFill>
                  <a:srgbClr val="00B050"/>
                </a:solidFill>
                <a:ln>
                  <a:noFill/>
                  <a:prstDash val="solid"/>
                </a:ln>
              </c:spPr>
            </c:marker>
            <c:bubble3D val="0"/>
            <c:extLst>
              <c:ext xmlns:c16="http://schemas.microsoft.com/office/drawing/2014/chart" uri="{C3380CC4-5D6E-409C-BE32-E72D297353CC}">
                <c16:uniqueId val="{00000039-3D2E-43C6-93FA-4D174EC7AE8D}"/>
              </c:ext>
            </c:extLst>
          </c:dPt>
          <c:dPt>
            <c:idx val="56"/>
            <c:marker>
              <c:spPr>
                <a:solidFill>
                  <a:srgbClr val="FF0000"/>
                </a:solidFill>
                <a:ln>
                  <a:solidFill>
                    <a:srgbClr val="FF0000"/>
                  </a:solidFill>
                  <a:prstDash val="solid"/>
                </a:ln>
              </c:spPr>
            </c:marker>
            <c:bubble3D val="0"/>
            <c:extLst>
              <c:ext xmlns:c16="http://schemas.microsoft.com/office/drawing/2014/chart" uri="{C3380CC4-5D6E-409C-BE32-E72D297353CC}">
                <c16:uniqueId val="{0000003A-3D2E-43C6-93FA-4D174EC7AE8D}"/>
              </c:ext>
            </c:extLst>
          </c:dPt>
          <c:dPt>
            <c:idx val="57"/>
            <c:marker>
              <c:spPr>
                <a:solidFill>
                  <a:srgbClr val="FF0000"/>
                </a:solidFill>
                <a:ln>
                  <a:noFill/>
                  <a:prstDash val="solid"/>
                </a:ln>
              </c:spPr>
            </c:marker>
            <c:bubble3D val="0"/>
            <c:extLst>
              <c:ext xmlns:c16="http://schemas.microsoft.com/office/drawing/2014/chart" uri="{C3380CC4-5D6E-409C-BE32-E72D297353CC}">
                <c16:uniqueId val="{0000003B-3D2E-43C6-93FA-4D174EC7AE8D}"/>
              </c:ext>
            </c:extLst>
          </c:dPt>
          <c:dPt>
            <c:idx val="58"/>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C-3D2E-43C6-93FA-4D174EC7AE8D}"/>
              </c:ext>
            </c:extLst>
          </c:dPt>
          <c:dPt>
            <c:idx val="59"/>
            <c:marker>
              <c:spPr>
                <a:solidFill>
                  <a:schemeClr val="bg2">
                    <a:lumMod val="50000"/>
                  </a:schemeClr>
                </a:solidFill>
                <a:ln>
                  <a:noFill/>
                  <a:prstDash val="solid"/>
                </a:ln>
              </c:spPr>
            </c:marker>
            <c:bubble3D val="0"/>
            <c:extLst>
              <c:ext xmlns:c16="http://schemas.microsoft.com/office/drawing/2014/chart" uri="{C3380CC4-5D6E-409C-BE32-E72D297353CC}">
                <c16:uniqueId val="{0000003D-3D2E-43C6-93FA-4D174EC7AE8D}"/>
              </c:ext>
            </c:extLst>
          </c:dPt>
          <c:dPt>
            <c:idx val="60"/>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E-3D2E-43C6-93FA-4D174EC7AE8D}"/>
              </c:ext>
            </c:extLst>
          </c:dPt>
          <c:dPt>
            <c:idx val="61"/>
            <c:marker>
              <c:spPr>
                <a:solidFill>
                  <a:schemeClr val="bg2">
                    <a:lumMod val="50000"/>
                  </a:schemeClr>
                </a:solidFill>
                <a:ln>
                  <a:noFill/>
                  <a:prstDash val="solid"/>
                </a:ln>
              </c:spPr>
            </c:marker>
            <c:bubble3D val="0"/>
            <c:extLst>
              <c:ext xmlns:c16="http://schemas.microsoft.com/office/drawing/2014/chart" uri="{C3380CC4-5D6E-409C-BE32-E72D297353CC}">
                <c16:uniqueId val="{0000003F-3D2E-43C6-93FA-4D174EC7AE8D}"/>
              </c:ext>
            </c:extLst>
          </c:dPt>
          <c:dPt>
            <c:idx val="62"/>
            <c:marker>
              <c:spPr>
                <a:solidFill>
                  <a:srgbClr val="FF0000"/>
                </a:solidFill>
                <a:ln>
                  <a:solidFill>
                    <a:srgbClr val="FF0000">
                      <a:alpha val="99000"/>
                    </a:srgbClr>
                  </a:solidFill>
                  <a:prstDash val="solid"/>
                </a:ln>
              </c:spPr>
            </c:marker>
            <c:bubble3D val="0"/>
            <c:extLst>
              <c:ext xmlns:c16="http://schemas.microsoft.com/office/drawing/2014/chart" uri="{C3380CC4-5D6E-409C-BE32-E72D297353CC}">
                <c16:uniqueId val="{00000040-3D2E-43C6-93FA-4D174EC7AE8D}"/>
              </c:ext>
            </c:extLst>
          </c:dPt>
          <c:dPt>
            <c:idx val="63"/>
            <c:marker>
              <c:spPr>
                <a:solidFill>
                  <a:srgbClr val="FF0000"/>
                </a:solidFill>
                <a:ln>
                  <a:noFill/>
                  <a:prstDash val="solid"/>
                </a:ln>
              </c:spPr>
            </c:marker>
            <c:bubble3D val="0"/>
            <c:spPr>
              <a:ln w="12700">
                <a:solidFill>
                  <a:schemeClr val="tx1"/>
                </a:solidFill>
                <a:prstDash val="solid"/>
              </a:ln>
            </c:spPr>
            <c:extLst>
              <c:ext xmlns:c16="http://schemas.microsoft.com/office/drawing/2014/chart" uri="{C3380CC4-5D6E-409C-BE32-E72D297353CC}">
                <c16:uniqueId val="{00000042-3D2E-43C6-93FA-4D174EC7AE8D}"/>
              </c:ext>
            </c:extLst>
          </c:dPt>
          <c:cat>
            <c:strRef>
              <c:f>'WPI Progress Circle long-term'!$B$12:$B$76</c:f>
              <c:strCache>
                <c:ptCount val="64"/>
                <c:pt idx="1">
                  <c:v>Building activity</c:v>
                </c:pt>
                <c:pt idx="3">
                  <c:v>Employment</c:v>
                </c:pt>
                <c:pt idx="5">
                  <c:v>Income</c:v>
                </c:pt>
                <c:pt idx="7">
                  <c:v>Regional GDP</c:v>
                </c:pt>
                <c:pt idx="9">
                  <c:v>Water use</c:v>
                </c:pt>
                <c:pt idx="11">
                  <c:v>Community engagement</c:v>
                </c:pt>
                <c:pt idx="13">
                  <c:v>Community pride</c:v>
                </c:pt>
                <c:pt idx="15">
                  <c:v>Crime</c:v>
                </c:pt>
                <c:pt idx="17">
                  <c:v>Cultural respect</c:v>
                </c:pt>
                <c:pt idx="19">
                  <c:v>Educational attainment</c:v>
                </c:pt>
                <c:pt idx="21">
                  <c:v>Housing affordability</c:v>
                </c:pt>
                <c:pt idx="23">
                  <c:v>Income inequality</c:v>
                </c:pt>
                <c:pt idx="25">
                  <c:v>Life expectancy</c:v>
                </c:pt>
                <c:pt idx="27">
                  <c:v>Life satisfaction</c:v>
                </c:pt>
                <c:pt idx="29">
                  <c:v>Perceived health</c:v>
                </c:pt>
                <c:pt idx="31">
                  <c:v>Perceptions of safety</c:v>
                </c:pt>
                <c:pt idx="33">
                  <c:v>Physical activity</c:v>
                </c:pt>
                <c:pt idx="35">
                  <c:v>Public transport</c:v>
                </c:pt>
                <c:pt idx="37">
                  <c:v>Road safety</c:v>
                </c:pt>
                <c:pt idx="39">
                  <c:v>Social connectedness</c:v>
                </c:pt>
                <c:pt idx="41">
                  <c:v>Te Reo Māori speakers</c:v>
                </c:pt>
                <c:pt idx="43">
                  <c:v>Voter turnout</c:v>
                </c:pt>
                <c:pt idx="45">
                  <c:v>Air quality</c:v>
                </c:pt>
                <c:pt idx="47">
                  <c:v>Coastal ecosystem health</c:v>
                </c:pt>
                <c:pt idx="49">
                  <c:v>Environmental attitudes</c:v>
                </c:pt>
                <c:pt idx="51">
                  <c:v>Greenhouse gases</c:v>
                </c:pt>
                <c:pt idx="53">
                  <c:v>Indigenous vegetation</c:v>
                </c:pt>
                <c:pt idx="55">
                  <c:v>Recycling</c:v>
                </c:pt>
                <c:pt idx="57">
                  <c:v>Residential expansion</c:v>
                </c:pt>
                <c:pt idx="59">
                  <c:v>River water quality</c:v>
                </c:pt>
                <c:pt idx="61">
                  <c:v>Soil quality</c:v>
                </c:pt>
                <c:pt idx="63">
                  <c:v>Waste</c:v>
                </c:pt>
              </c:strCache>
            </c:strRef>
          </c:cat>
          <c:val>
            <c:numRef>
              <c:f>'WPI Progress Circle long-term'!$D$12:$D$76</c:f>
              <c:numCache>
                <c:formatCode>0.000</c:formatCode>
                <c:ptCount val="65"/>
                <c:pt idx="0" formatCode="General">
                  <c:v>0</c:v>
                </c:pt>
                <c:pt idx="1">
                  <c:v>1.032701169069933</c:v>
                </c:pt>
                <c:pt idx="2" formatCode="General">
                  <c:v>0</c:v>
                </c:pt>
                <c:pt idx="3">
                  <c:v>0.98956780923994059</c:v>
                </c:pt>
                <c:pt idx="4" formatCode="General">
                  <c:v>0</c:v>
                </c:pt>
                <c:pt idx="5">
                  <c:v>1.24624874194432</c:v>
                </c:pt>
                <c:pt idx="6" formatCode="General">
                  <c:v>0</c:v>
                </c:pt>
                <c:pt idx="7">
                  <c:v>1.1712850779421686</c:v>
                </c:pt>
                <c:pt idx="8" formatCode="General">
                  <c:v>0</c:v>
                </c:pt>
                <c:pt idx="9">
                  <c:v>0.64384557764648398</c:v>
                </c:pt>
                <c:pt idx="10" formatCode="General">
                  <c:v>0</c:v>
                </c:pt>
                <c:pt idx="11">
                  <c:v>0.5</c:v>
                </c:pt>
                <c:pt idx="12" formatCode="General">
                  <c:v>0</c:v>
                </c:pt>
                <c:pt idx="13">
                  <c:v>0.91428571428571437</c:v>
                </c:pt>
                <c:pt idx="14" formatCode="General">
                  <c:v>0</c:v>
                </c:pt>
                <c:pt idx="15">
                  <c:v>0.93995704416233017</c:v>
                </c:pt>
                <c:pt idx="16" formatCode="General">
                  <c:v>0</c:v>
                </c:pt>
                <c:pt idx="17">
                  <c:v>0.76470588235294124</c:v>
                </c:pt>
                <c:pt idx="18" formatCode="General">
                  <c:v>0</c:v>
                </c:pt>
                <c:pt idx="19">
                  <c:v>1.1244462623413258</c:v>
                </c:pt>
                <c:pt idx="20" formatCode="General">
                  <c:v>0</c:v>
                </c:pt>
                <c:pt idx="21">
                  <c:v>0.91219512195121943</c:v>
                </c:pt>
                <c:pt idx="22" formatCode="General">
                  <c:v>0</c:v>
                </c:pt>
                <c:pt idx="23">
                  <c:v>0.88620693916257465</c:v>
                </c:pt>
                <c:pt idx="24" formatCode="General">
                  <c:v>0</c:v>
                </c:pt>
                <c:pt idx="25">
                  <c:v>1.0194235588972429</c:v>
                </c:pt>
                <c:pt idx="26" formatCode="General">
                  <c:v>0</c:v>
                </c:pt>
                <c:pt idx="27">
                  <c:v>0.95555555555555549</c:v>
                </c:pt>
                <c:pt idx="28" formatCode="General">
                  <c:v>0</c:v>
                </c:pt>
                <c:pt idx="29">
                  <c:v>0.88888888888888895</c:v>
                </c:pt>
                <c:pt idx="30" formatCode="General">
                  <c:v>0</c:v>
                </c:pt>
                <c:pt idx="31">
                  <c:v>1.05</c:v>
                </c:pt>
                <c:pt idx="32" formatCode="General">
                  <c:v>0</c:v>
                </c:pt>
                <c:pt idx="33">
                  <c:v>0.67213114754098358</c:v>
                </c:pt>
                <c:pt idx="34" formatCode="General">
                  <c:v>0</c:v>
                </c:pt>
                <c:pt idx="35">
                  <c:v>0.7046804242224074</c:v>
                </c:pt>
                <c:pt idx="36" formatCode="General">
                  <c:v>0</c:v>
                </c:pt>
                <c:pt idx="37">
                  <c:v>1.3091704489095877</c:v>
                </c:pt>
                <c:pt idx="38" formatCode="General">
                  <c:v>0</c:v>
                </c:pt>
                <c:pt idx="39">
                  <c:v>0.90476190476190466</c:v>
                </c:pt>
                <c:pt idx="40" formatCode="General">
                  <c:v>0</c:v>
                </c:pt>
                <c:pt idx="41">
                  <c:v>1.0155279999999993</c:v>
                </c:pt>
                <c:pt idx="42" formatCode="General">
                  <c:v>0</c:v>
                </c:pt>
                <c:pt idx="43">
                  <c:v>0.98468837798826669</c:v>
                </c:pt>
                <c:pt idx="44" formatCode="General">
                  <c:v>0</c:v>
                </c:pt>
                <c:pt idx="45">
                  <c:v>1.1000000000000001</c:v>
                </c:pt>
                <c:pt idx="46" formatCode="General">
                  <c:v>0</c:v>
                </c:pt>
                <c:pt idx="47">
                  <c:v>0.95729666605720565</c:v>
                </c:pt>
                <c:pt idx="48" formatCode="General">
                  <c:v>0</c:v>
                </c:pt>
                <c:pt idx="49">
                  <c:v>0.9707602339181286</c:v>
                </c:pt>
                <c:pt idx="50" formatCode="General">
                  <c:v>0</c:v>
                </c:pt>
                <c:pt idx="51">
                  <c:v>1.0979740949850547</c:v>
                </c:pt>
                <c:pt idx="52" formatCode="General">
                  <c:v>0</c:v>
                </c:pt>
                <c:pt idx="53">
                  <c:v>0.99945177122175355</c:v>
                </c:pt>
                <c:pt idx="54" formatCode="General">
                  <c:v>0</c:v>
                </c:pt>
                <c:pt idx="55">
                  <c:v>1.0619335347432024</c:v>
                </c:pt>
                <c:pt idx="56" formatCode="General">
                  <c:v>0</c:v>
                </c:pt>
                <c:pt idx="57">
                  <c:v>0.77001639137561462</c:v>
                </c:pt>
                <c:pt idx="58" formatCode="General">
                  <c:v>0</c:v>
                </c:pt>
                <c:pt idx="59">
                  <c:v>1</c:v>
                </c:pt>
                <c:pt idx="60" formatCode="General">
                  <c:v>0</c:v>
                </c:pt>
                <c:pt idx="61">
                  <c:v>0.97885560214748046</c:v>
                </c:pt>
                <c:pt idx="62" formatCode="General">
                  <c:v>0</c:v>
                </c:pt>
                <c:pt idx="63">
                  <c:v>0.6086261261261261</c:v>
                </c:pt>
                <c:pt idx="64" formatCode="General">
                  <c:v>0</c:v>
                </c:pt>
              </c:numCache>
            </c:numRef>
          </c:val>
          <c:extLst>
            <c:ext xmlns:c16="http://schemas.microsoft.com/office/drawing/2014/chart" uri="{C3380CC4-5D6E-409C-BE32-E72D297353CC}">
              <c16:uniqueId val="{00000043-3D2E-43C6-93FA-4D174EC7AE8D}"/>
            </c:ext>
          </c:extLst>
        </c:ser>
        <c:dLbls>
          <c:showLegendKey val="0"/>
          <c:showVal val="0"/>
          <c:showCatName val="0"/>
          <c:showSerName val="0"/>
          <c:showPercent val="0"/>
          <c:showBubbleSize val="0"/>
        </c:dLbls>
        <c:axId val="513071232"/>
        <c:axId val="1"/>
      </c:radarChart>
      <c:catAx>
        <c:axId val="513071232"/>
        <c:scaling>
          <c:orientation val="minMax"/>
        </c:scaling>
        <c:delete val="0"/>
        <c:axPos val="b"/>
        <c:numFmt formatCode="General" sourceLinked="1"/>
        <c:majorTickMark val="out"/>
        <c:minorTickMark val="none"/>
        <c:tickLblPos val="nextTo"/>
        <c:txPr>
          <a:bodyPr rot="0" vert="horz"/>
          <a:lstStyle/>
          <a:p>
            <a:pPr>
              <a:defRPr/>
            </a:pPr>
            <a:endParaRPr lang="en-US"/>
          </a:p>
        </c:txPr>
        <c:crossAx val="1"/>
        <c:crosses val="autoZero"/>
        <c:auto val="0"/>
        <c:lblAlgn val="ctr"/>
        <c:lblOffset val="100"/>
        <c:noMultiLvlLbl val="0"/>
      </c:catAx>
      <c:valAx>
        <c:axId val="1"/>
        <c:scaling>
          <c:orientation val="minMax"/>
        </c:scaling>
        <c:delete val="1"/>
        <c:axPos val="l"/>
        <c:numFmt formatCode="0.00" sourceLinked="1"/>
        <c:majorTickMark val="out"/>
        <c:minorTickMark val="none"/>
        <c:tickLblPos val="nextTo"/>
        <c:crossAx val="513071232"/>
        <c:crosses val="autoZero"/>
        <c:crossBetween val="between"/>
      </c:valAx>
      <c:spPr>
        <a:noFill/>
        <a:ln w="25400">
          <a:noFill/>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32575548678984"/>
          <c:y val="5.8315396272817684E-2"/>
          <c:w val="0.78729005177854716"/>
          <c:h val="0.81209571265794789"/>
        </c:manualLayout>
      </c:layout>
      <c:barChart>
        <c:barDir val="col"/>
        <c:grouping val="clustered"/>
        <c:varyColors val="0"/>
        <c:ser>
          <c:idx val="0"/>
          <c:order val="0"/>
          <c:tx>
            <c:strRef>
              <c:f>'Community pride'!$A$9</c:f>
              <c:strCache>
                <c:ptCount val="1"/>
                <c:pt idx="0">
                  <c:v>Percent who feel pride in look and feel of city/local area</c:v>
                </c:pt>
              </c:strCache>
            </c:strRef>
          </c:tx>
          <c:spPr>
            <a:solidFill>
              <a:srgbClr val="6B2E8F"/>
            </a:solidFill>
            <a:ln w="25400">
              <a:noFill/>
            </a:ln>
          </c:spPr>
          <c:invertIfNegative val="0"/>
          <c:cat>
            <c:numRef>
              <c:f>'Community pride'!$B$8:$E$8</c:f>
              <c:numCache>
                <c:formatCode>General</c:formatCode>
                <c:ptCount val="4"/>
                <c:pt idx="0">
                  <c:v>2006</c:v>
                </c:pt>
                <c:pt idx="1">
                  <c:v>2016</c:v>
                </c:pt>
                <c:pt idx="2">
                  <c:v>2018</c:v>
                </c:pt>
                <c:pt idx="3">
                  <c:v>2020</c:v>
                </c:pt>
              </c:numCache>
            </c:numRef>
          </c:cat>
          <c:val>
            <c:numRef>
              <c:f>'Community pride'!$B$9:$E$9</c:f>
              <c:numCache>
                <c:formatCode>0</c:formatCode>
                <c:ptCount val="4"/>
                <c:pt idx="0">
                  <c:v>70</c:v>
                </c:pt>
                <c:pt idx="1">
                  <c:v>68</c:v>
                </c:pt>
                <c:pt idx="2">
                  <c:v>62</c:v>
                </c:pt>
                <c:pt idx="3">
                  <c:v>67</c:v>
                </c:pt>
              </c:numCache>
            </c:numRef>
          </c:val>
          <c:extLst>
            <c:ext xmlns:c16="http://schemas.microsoft.com/office/drawing/2014/chart" uri="{C3380CC4-5D6E-409C-BE32-E72D297353CC}">
              <c16:uniqueId val="{00000000-33CA-449D-88C8-1FFF30C4C2DF}"/>
            </c:ext>
          </c:extLst>
        </c:ser>
        <c:dLbls>
          <c:showLegendKey val="0"/>
          <c:showVal val="0"/>
          <c:showCatName val="0"/>
          <c:showSerName val="0"/>
          <c:showPercent val="0"/>
          <c:showBubbleSize val="0"/>
        </c:dLbls>
        <c:gapWidth val="60"/>
        <c:axId val="653166848"/>
        <c:axId val="1"/>
      </c:barChart>
      <c:catAx>
        <c:axId val="653166848"/>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7081752913181568"/>
              <c:y val="0.9287266089578974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Percent who feel pride in look and feel of  city/local area</a:t>
                </a:r>
              </a:p>
            </c:rich>
          </c:tx>
          <c:overlay val="0"/>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653166848"/>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0442625834755"/>
          <c:y val="6.0869629829345524E-2"/>
          <c:w val="0.79007201638965041"/>
          <c:h val="0.79347894556658671"/>
        </c:manualLayout>
      </c:layout>
      <c:barChart>
        <c:barDir val="col"/>
        <c:grouping val="clustered"/>
        <c:varyColors val="0"/>
        <c:ser>
          <c:idx val="0"/>
          <c:order val="0"/>
          <c:tx>
            <c:strRef>
              <c:f>Crime!$A$9</c:f>
              <c:strCache>
                <c:ptCount val="1"/>
                <c:pt idx="0">
                  <c:v>Crime rate per 10,000 population</c:v>
                </c:pt>
              </c:strCache>
            </c:strRef>
          </c:tx>
          <c:spPr>
            <a:solidFill>
              <a:srgbClr val="6B2E8F"/>
            </a:solidFill>
            <a:ln w="25400">
              <a:noFill/>
            </a:ln>
          </c:spPr>
          <c:invertIfNegative val="0"/>
          <c:cat>
            <c:numRef>
              <c:f>Crime!$B$8:$X$8</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Crime!$B$9:$X$9</c:f>
              <c:numCache>
                <c:formatCode>#,##0</c:formatCode>
                <c:ptCount val="23"/>
                <c:pt idx="0">
                  <c:v>832.43946188836389</c:v>
                </c:pt>
                <c:pt idx="1">
                  <c:v>840.64716591816773</c:v>
                </c:pt>
                <c:pt idx="2">
                  <c:v>780.52205297682951</c:v>
                </c:pt>
                <c:pt idx="3">
                  <c:v>720.5963372683799</c:v>
                </c:pt>
                <c:pt idx="4">
                  <c:v>769.8415804414185</c:v>
                </c:pt>
                <c:pt idx="5">
                  <c:v>833.58884382201973</c:v>
                </c:pt>
                <c:pt idx="6">
                  <c:v>797.90576321659751</c:v>
                </c:pt>
                <c:pt idx="7">
                  <c:v>760.58608287813991</c:v>
                </c:pt>
                <c:pt idx="8">
                  <c:v>828.88368065746215</c:v>
                </c:pt>
                <c:pt idx="9">
                  <c:v>802.94452139501607</c:v>
                </c:pt>
                <c:pt idx="10">
                  <c:v>806.9806572169233</c:v>
                </c:pt>
                <c:pt idx="11">
                  <c:v>739.03788716845577</c:v>
                </c:pt>
                <c:pt idx="12">
                  <c:v>722.29932637929221</c:v>
                </c:pt>
                <c:pt idx="13">
                  <c:v>652.6303755866229</c:v>
                </c:pt>
                <c:pt idx="14">
                  <c:v>582.59997264146648</c:v>
                </c:pt>
                <c:pt idx="15">
                  <c:v>624.84696035438412</c:v>
                </c:pt>
                <c:pt idx="16">
                  <c:v>624.52049153681105</c:v>
                </c:pt>
                <c:pt idx="17">
                  <c:v>588.94561786327142</c:v>
                </c:pt>
                <c:pt idx="18">
                  <c:v>658.39037544077996</c:v>
                </c:pt>
                <c:pt idx="19">
                  <c:v>623.39101182442641</c:v>
                </c:pt>
                <c:pt idx="20">
                  <c:v>682.45823389021484</c:v>
                </c:pt>
                <c:pt idx="21">
                  <c:v>832.74168737427522</c:v>
                </c:pt>
                <c:pt idx="22">
                  <c:v>845.8143837200339</c:v>
                </c:pt>
              </c:numCache>
            </c:numRef>
          </c:val>
          <c:extLst>
            <c:ext xmlns:c16="http://schemas.microsoft.com/office/drawing/2014/chart" uri="{C3380CC4-5D6E-409C-BE32-E72D297353CC}">
              <c16:uniqueId val="{00000000-CE4E-4166-95FA-E0B4A171CB4F}"/>
            </c:ext>
          </c:extLst>
        </c:ser>
        <c:dLbls>
          <c:showLegendKey val="0"/>
          <c:showVal val="0"/>
          <c:showCatName val="0"/>
          <c:showSerName val="0"/>
          <c:showPercent val="0"/>
          <c:showBubbleSize val="0"/>
        </c:dLbls>
        <c:gapWidth val="60"/>
        <c:axId val="653150776"/>
        <c:axId val="1"/>
      </c:barChart>
      <c:catAx>
        <c:axId val="65315077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6666726233688871"/>
              <c:y val="0.90942120278443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Crime rate per 10,000 population</a:t>
                </a:r>
              </a:p>
            </c:rich>
          </c:tx>
          <c:layout>
            <c:manualLayout>
              <c:xMode val="edge"/>
              <c:yMode val="edge"/>
              <c:x val="1.276595744680851E-2"/>
              <c:y val="0.1239132717106013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31507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28710045554078"/>
          <c:y val="5.8064638072576599E-2"/>
          <c:w val="0.75969136024436823"/>
          <c:h val="0.80717003922896735"/>
        </c:manualLayout>
      </c:layout>
      <c:barChart>
        <c:barDir val="col"/>
        <c:grouping val="clustered"/>
        <c:varyColors val="0"/>
        <c:ser>
          <c:idx val="0"/>
          <c:order val="0"/>
          <c:tx>
            <c:strRef>
              <c:f>'Cultural respect'!$A$9</c:f>
              <c:strCache>
                <c:ptCount val="1"/>
                <c:pt idx="0">
                  <c:v>Impact of greater cultural diversity - Better/much better place to live</c:v>
                </c:pt>
              </c:strCache>
            </c:strRef>
          </c:tx>
          <c:spPr>
            <a:solidFill>
              <a:srgbClr val="6B2E8F"/>
            </a:solidFill>
            <a:ln w="25400">
              <a:noFill/>
            </a:ln>
          </c:spPr>
          <c:invertIfNegative val="0"/>
          <c:cat>
            <c:numRef>
              <c:f>'Cultural respect'!$B$8:$F$8</c:f>
              <c:numCache>
                <c:formatCode>General</c:formatCode>
                <c:ptCount val="5"/>
                <c:pt idx="0">
                  <c:v>2006</c:v>
                </c:pt>
                <c:pt idx="1">
                  <c:v>2016</c:v>
                </c:pt>
                <c:pt idx="2">
                  <c:v>2018</c:v>
                </c:pt>
                <c:pt idx="3">
                  <c:v>2020</c:v>
                </c:pt>
                <c:pt idx="4">
                  <c:v>2022</c:v>
                </c:pt>
              </c:numCache>
            </c:numRef>
          </c:cat>
          <c:val>
            <c:numRef>
              <c:f>'Cultural respect'!$B$9:$F$9</c:f>
              <c:numCache>
                <c:formatCode>0</c:formatCode>
                <c:ptCount val="5"/>
                <c:pt idx="0">
                  <c:v>51</c:v>
                </c:pt>
                <c:pt idx="1">
                  <c:v>43</c:v>
                </c:pt>
                <c:pt idx="2">
                  <c:v>41</c:v>
                </c:pt>
                <c:pt idx="3">
                  <c:v>47</c:v>
                </c:pt>
                <c:pt idx="4">
                  <c:v>39</c:v>
                </c:pt>
              </c:numCache>
            </c:numRef>
          </c:val>
          <c:extLst>
            <c:ext xmlns:c16="http://schemas.microsoft.com/office/drawing/2014/chart" uri="{C3380CC4-5D6E-409C-BE32-E72D297353CC}">
              <c16:uniqueId val="{00000000-BEFF-47BD-830C-2B9EC9FD7211}"/>
            </c:ext>
          </c:extLst>
        </c:ser>
        <c:dLbls>
          <c:showLegendKey val="0"/>
          <c:showVal val="0"/>
          <c:showCatName val="0"/>
          <c:showSerName val="0"/>
          <c:showPercent val="0"/>
          <c:showBubbleSize val="0"/>
        </c:dLbls>
        <c:gapWidth val="60"/>
        <c:axId val="513069264"/>
        <c:axId val="1"/>
      </c:barChart>
      <c:catAx>
        <c:axId val="513069264"/>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9418710959002465"/>
              <c:y val="0.911829763215081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AU"/>
                  <a:t>Impact of greater cultural diversity - Better/much better place to live</a:t>
                </a:r>
              </a:p>
            </c:rich>
          </c:tx>
          <c:layout>
            <c:manualLayout>
              <c:xMode val="edge"/>
              <c:yMode val="edge"/>
              <c:x val="3.1653702861610379E-2"/>
              <c:y val="0.1286594982078853"/>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513069264"/>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7954545454546"/>
          <c:y val="6.1002308436964775E-2"/>
          <c:w val="0.78977272727272729"/>
          <c:h val="0.76107640139753774"/>
        </c:manualLayout>
      </c:layout>
      <c:barChart>
        <c:barDir val="col"/>
        <c:grouping val="clustered"/>
        <c:varyColors val="0"/>
        <c:ser>
          <c:idx val="0"/>
          <c:order val="0"/>
          <c:tx>
            <c:strRef>
              <c:f>'Educational attainment'!$A$9</c:f>
              <c:strCache>
                <c:ptCount val="1"/>
                <c:pt idx="0">
                  <c:v>Percentage of school leavers with NCEA level 2 or above</c:v>
                </c:pt>
              </c:strCache>
            </c:strRef>
          </c:tx>
          <c:spPr>
            <a:solidFill>
              <a:srgbClr val="6B2E8F"/>
            </a:solidFill>
            <a:ln w="25400">
              <a:noFill/>
            </a:ln>
          </c:spPr>
          <c:invertIfNegative val="0"/>
          <c:cat>
            <c:numRef>
              <c:f>'Educational attainment'!$B$8:$O$8</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'Educational attainment'!$B$9:$O$9</c:f>
              <c:numCache>
                <c:formatCode>0.0</c:formatCode>
                <c:ptCount val="14"/>
                <c:pt idx="0">
                  <c:v>64.209382358268428</c:v>
                </c:pt>
                <c:pt idx="1">
                  <c:v>66.400000000000006</c:v>
                </c:pt>
                <c:pt idx="2">
                  <c:v>69.5</c:v>
                </c:pt>
                <c:pt idx="3">
                  <c:v>72</c:v>
                </c:pt>
                <c:pt idx="4">
                  <c:v>73.599999999999994</c:v>
                </c:pt>
                <c:pt idx="5">
                  <c:v>76.099999999999994</c:v>
                </c:pt>
                <c:pt idx="6">
                  <c:v>77.599999999999994</c:v>
                </c:pt>
                <c:pt idx="7">
                  <c:v>79.599999999999994</c:v>
                </c:pt>
                <c:pt idx="8">
                  <c:v>78.5</c:v>
                </c:pt>
                <c:pt idx="9">
                  <c:v>79.099999999999994</c:v>
                </c:pt>
                <c:pt idx="10">
                  <c:v>78.400000000000006</c:v>
                </c:pt>
                <c:pt idx="11">
                  <c:v>79.3</c:v>
                </c:pt>
                <c:pt idx="12">
                  <c:v>77.900000000000006</c:v>
                </c:pt>
                <c:pt idx="13">
                  <c:v>72.2</c:v>
                </c:pt>
              </c:numCache>
            </c:numRef>
          </c:val>
          <c:extLst>
            <c:ext xmlns:c16="http://schemas.microsoft.com/office/drawing/2014/chart" uri="{C3380CC4-5D6E-409C-BE32-E72D297353CC}">
              <c16:uniqueId val="{00000000-45F1-41F7-AA0F-855E96FBD3A0}"/>
            </c:ext>
          </c:extLst>
        </c:ser>
        <c:dLbls>
          <c:showLegendKey val="0"/>
          <c:showVal val="0"/>
          <c:showCatName val="0"/>
          <c:showSerName val="0"/>
          <c:showPercent val="0"/>
          <c:showBubbleSize val="0"/>
        </c:dLbls>
        <c:gapWidth val="60"/>
        <c:axId val="513064344"/>
        <c:axId val="1"/>
      </c:barChart>
      <c:catAx>
        <c:axId val="513064344"/>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8768939393939392"/>
              <c:y val="0.915034509575191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Percentage of school leavers with NCEA level 2 or above</a:t>
                </a:r>
              </a:p>
            </c:rich>
          </c:tx>
          <c:layout>
            <c:manualLayout>
              <c:xMode val="edge"/>
              <c:yMode val="edge"/>
              <c:x val="1.278409090909091E-2"/>
              <c:y val="0.12854053374047197"/>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64344"/>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0442625834755"/>
          <c:y val="6.0869629829345524E-2"/>
          <c:w val="0.79007201638965041"/>
          <c:h val="0.75289923542165915"/>
        </c:manualLayout>
      </c:layout>
      <c:barChart>
        <c:barDir val="col"/>
        <c:grouping val="clustered"/>
        <c:varyColors val="0"/>
        <c:ser>
          <c:idx val="0"/>
          <c:order val="0"/>
          <c:tx>
            <c:strRef>
              <c:f>'Housing affordability'!$A$9</c:f>
              <c:strCache>
                <c:ptCount val="1"/>
                <c:pt idx="0">
                  <c:v>Ratio of housing costs to household disposable income (percentage)</c:v>
                </c:pt>
              </c:strCache>
            </c:strRef>
          </c:tx>
          <c:spPr>
            <a:solidFill>
              <a:srgbClr val="6B2E8F"/>
            </a:solidFill>
            <a:ln w="25400">
              <a:noFill/>
            </a:ln>
          </c:spPr>
          <c:invertIfNegative val="0"/>
          <c:cat>
            <c:numRef>
              <c:f>'Housing affordability'!$B$8:$R$8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'Housing affordability'!$B$9:$R$9</c:f>
              <c:numCache>
                <c:formatCode>0.0</c:formatCode>
                <c:ptCount val="17"/>
                <c:pt idx="0">
                  <c:v>20.5</c:v>
                </c:pt>
                <c:pt idx="1">
                  <c:v>18.600000000000001</c:v>
                </c:pt>
                <c:pt idx="2">
                  <c:v>20.5</c:v>
                </c:pt>
                <c:pt idx="3">
                  <c:v>17.7</c:v>
                </c:pt>
                <c:pt idx="4">
                  <c:v>18.3</c:v>
                </c:pt>
                <c:pt idx="5">
                  <c:v>20.100000000000001</c:v>
                </c:pt>
                <c:pt idx="6">
                  <c:v>17.2</c:v>
                </c:pt>
                <c:pt idx="7">
                  <c:v>20.3</c:v>
                </c:pt>
                <c:pt idx="8">
                  <c:v>18.899999999999999</c:v>
                </c:pt>
                <c:pt idx="9">
                  <c:v>20.399999999999999</c:v>
                </c:pt>
                <c:pt idx="10">
                  <c:v>19.899999999999999</c:v>
                </c:pt>
                <c:pt idx="11" formatCode="General">
                  <c:v>20.2</c:v>
                </c:pt>
                <c:pt idx="12" formatCode="General">
                  <c:v>19.600000000000001</c:v>
                </c:pt>
                <c:pt idx="13">
                  <c:v>20.6</c:v>
                </c:pt>
                <c:pt idx="14" formatCode="General">
                  <c:v>19.899999999999999</c:v>
                </c:pt>
                <c:pt idx="16" formatCode="General">
                  <c:v>22.3</c:v>
                </c:pt>
              </c:numCache>
            </c:numRef>
          </c:val>
          <c:extLst>
            <c:ext xmlns:c16="http://schemas.microsoft.com/office/drawing/2014/chart" uri="{C3380CC4-5D6E-409C-BE32-E72D297353CC}">
              <c16:uniqueId val="{00000000-897D-4D1B-8682-D78560140EF9}"/>
            </c:ext>
          </c:extLst>
        </c:ser>
        <c:dLbls>
          <c:showLegendKey val="0"/>
          <c:showVal val="0"/>
          <c:showCatName val="0"/>
          <c:showSerName val="0"/>
          <c:showPercent val="0"/>
          <c:showBubbleSize val="0"/>
        </c:dLbls>
        <c:gapWidth val="60"/>
        <c:axId val="513073200"/>
        <c:axId val="1"/>
      </c:barChart>
      <c:catAx>
        <c:axId val="51307320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 ended 30 June</a:t>
                </a:r>
              </a:p>
            </c:rich>
          </c:tx>
          <c:layout>
            <c:manualLayout>
              <c:xMode val="edge"/>
              <c:yMode val="edge"/>
              <c:x val="0.41182092663948916"/>
              <c:y val="0.894928449161246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Ratio of housing costs to household
dispoable income (percentage)</a:t>
                </a:r>
              </a:p>
            </c:rich>
          </c:tx>
          <c:layout>
            <c:manualLayout>
              <c:xMode val="edge"/>
              <c:yMode val="edge"/>
              <c:x val="1.276595744680851E-2"/>
              <c:y val="0.1239132717106013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73200"/>
        <c:crosses val="autoZero"/>
        <c:crossBetween val="between"/>
        <c:majorUnit val="5"/>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34987682769858"/>
          <c:y val="5.9829184672944777E-2"/>
          <c:w val="0.78420364303516932"/>
          <c:h val="0.71153994628895045"/>
        </c:manualLayout>
      </c:layout>
      <c:barChart>
        <c:barDir val="col"/>
        <c:grouping val="clustered"/>
        <c:varyColors val="0"/>
        <c:ser>
          <c:idx val="0"/>
          <c:order val="0"/>
          <c:tx>
            <c:strRef>
              <c:f>'Income inequality'!$A$11</c:f>
              <c:strCache>
                <c:ptCount val="1"/>
                <c:pt idx="0">
                  <c:v>Gini coefficient</c:v>
                </c:pt>
              </c:strCache>
            </c:strRef>
          </c:tx>
          <c:spPr>
            <a:solidFill>
              <a:srgbClr val="6B2E8F"/>
            </a:solidFill>
            <a:ln w="25400">
              <a:noFill/>
            </a:ln>
          </c:spPr>
          <c:invertIfNegative val="0"/>
          <c:cat>
            <c:numRef>
              <c:f>'Income inequality'!$B$10:$R$10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'Income inequality'!$B$11:$R$11</c:f>
              <c:numCache>
                <c:formatCode>0.000</c:formatCode>
                <c:ptCount val="17"/>
                <c:pt idx="0">
                  <c:v>0.35107619309999999</c:v>
                </c:pt>
                <c:pt idx="1">
                  <c:v>0.4008313489</c:v>
                </c:pt>
                <c:pt idx="2">
                  <c:v>0.31539996650000002</c:v>
                </c:pt>
                <c:pt idx="3">
                  <c:v>0.35549977939999999</c:v>
                </c:pt>
                <c:pt idx="4">
                  <c:v>0.39271483140000002</c:v>
                </c:pt>
                <c:pt idx="5">
                  <c:v>0.412406151</c:v>
                </c:pt>
                <c:pt idx="6">
                  <c:v>0.341751201</c:v>
                </c:pt>
                <c:pt idx="7">
                  <c:v>0.37529659230000001</c:v>
                </c:pt>
                <c:pt idx="8">
                  <c:v>0.44396520369999998</c:v>
                </c:pt>
                <c:pt idx="9">
                  <c:v>0.41291360220000001</c:v>
                </c:pt>
                <c:pt idx="10">
                  <c:v>0.41658550750000001</c:v>
                </c:pt>
                <c:pt idx="11">
                  <c:v>0.39489459529999998</c:v>
                </c:pt>
                <c:pt idx="12">
                  <c:v>0.41007544689999997</c:v>
                </c:pt>
                <c:pt idx="13">
                  <c:v>0.38169096650000001</c:v>
                </c:pt>
                <c:pt idx="14">
                  <c:v>0.36166111379999999</c:v>
                </c:pt>
                <c:pt idx="15">
                  <c:v>0.3545802851</c:v>
                </c:pt>
                <c:pt idx="16">
                  <c:v>0.39102622770000001</c:v>
                </c:pt>
              </c:numCache>
            </c:numRef>
          </c:val>
          <c:extLst>
            <c:ext xmlns:c16="http://schemas.microsoft.com/office/drawing/2014/chart" uri="{C3380CC4-5D6E-409C-BE32-E72D297353CC}">
              <c16:uniqueId val="{00000000-1C1A-4E3D-99C4-6D03091EE35A}"/>
            </c:ext>
          </c:extLst>
        </c:ser>
        <c:dLbls>
          <c:showLegendKey val="0"/>
          <c:showVal val="0"/>
          <c:showCatName val="0"/>
          <c:showSerName val="0"/>
          <c:showPercent val="0"/>
          <c:showBubbleSize val="0"/>
        </c:dLbls>
        <c:gapWidth val="60"/>
        <c:axId val="513076808"/>
        <c:axId val="1"/>
      </c:barChart>
      <c:catAx>
        <c:axId val="513076808"/>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936533285948565"/>
              <c:y val="0.848292358651675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Gini coefficient</a:t>
                </a:r>
              </a:p>
            </c:rich>
          </c:tx>
          <c:layout>
            <c:manualLayout>
              <c:xMode val="edge"/>
              <c:yMode val="edge"/>
              <c:x val="3.9492242595204514E-2"/>
              <c:y val="0.30982979747618883"/>
            </c:manualLayout>
          </c:layout>
          <c:overlay val="0"/>
          <c:spPr>
            <a:noFill/>
            <a:ln w="25400">
              <a:noFill/>
            </a:ln>
          </c:spPr>
        </c:title>
        <c:numFmt formatCode="#,##0.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76808"/>
        <c:crosses val="autoZero"/>
        <c:crossBetween val="between"/>
        <c:majorUnit val="0.1"/>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0442625834755"/>
          <c:y val="6.0869629829345524E-2"/>
          <c:w val="0.79007201638965041"/>
          <c:h val="0.75869633687093452"/>
        </c:manualLayout>
      </c:layout>
      <c:barChart>
        <c:barDir val="col"/>
        <c:grouping val="clustered"/>
        <c:varyColors val="0"/>
        <c:ser>
          <c:idx val="0"/>
          <c:order val="0"/>
          <c:tx>
            <c:strRef>
              <c:f>'Life expectancy'!$A$9</c:f>
              <c:strCache>
                <c:ptCount val="1"/>
                <c:pt idx="0">
                  <c:v>Life expectancy at birth (years)</c:v>
                </c:pt>
              </c:strCache>
            </c:strRef>
          </c:tx>
          <c:spPr>
            <a:solidFill>
              <a:srgbClr val="6B2E8F"/>
            </a:solidFill>
            <a:ln w="25400">
              <a:noFill/>
            </a:ln>
          </c:spPr>
          <c:invertIfNegative val="0"/>
          <c:cat>
            <c:strRef>
              <c:f>'Life expectancy'!$B$8:$G$8</c:f>
              <c:strCache>
                <c:ptCount val="6"/>
                <c:pt idx="0">
                  <c:v>1990–1992</c:v>
                </c:pt>
                <c:pt idx="1">
                  <c:v>1995–1997</c:v>
                </c:pt>
                <c:pt idx="2">
                  <c:v>2000–2002</c:v>
                </c:pt>
                <c:pt idx="3">
                  <c:v>2005-2007</c:v>
                </c:pt>
                <c:pt idx="4">
                  <c:v>2012-14</c:v>
                </c:pt>
                <c:pt idx="5">
                  <c:v>2017-19</c:v>
                </c:pt>
              </c:strCache>
            </c:strRef>
          </c:cat>
          <c:val>
            <c:numRef>
              <c:f>'Life expectancy'!$B$9:$G$9</c:f>
              <c:numCache>
                <c:formatCode>0.0</c:formatCode>
                <c:ptCount val="6"/>
                <c:pt idx="0">
                  <c:v>75.5</c:v>
                </c:pt>
                <c:pt idx="1">
                  <c:v>77.2</c:v>
                </c:pt>
                <c:pt idx="2">
                  <c:v>78.5</c:v>
                </c:pt>
                <c:pt idx="3">
                  <c:v>79.800000000000011</c:v>
                </c:pt>
                <c:pt idx="4">
                  <c:v>80.95</c:v>
                </c:pt>
                <c:pt idx="5">
                  <c:v>81.349999999999994</c:v>
                </c:pt>
              </c:numCache>
            </c:numRef>
          </c:val>
          <c:extLst>
            <c:ext xmlns:c16="http://schemas.microsoft.com/office/drawing/2014/chart" uri="{C3380CC4-5D6E-409C-BE32-E72D297353CC}">
              <c16:uniqueId val="{00000000-104E-42B8-883F-06AEF49082A8}"/>
            </c:ext>
          </c:extLst>
        </c:ser>
        <c:dLbls>
          <c:showLegendKey val="0"/>
          <c:showVal val="0"/>
          <c:showCatName val="0"/>
          <c:showSerName val="0"/>
          <c:showPercent val="0"/>
          <c:showBubbleSize val="0"/>
        </c:dLbls>
        <c:gapWidth val="60"/>
        <c:axId val="513085336"/>
        <c:axId val="1"/>
      </c:barChart>
      <c:catAx>
        <c:axId val="51308533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8699838052158378"/>
              <c:y val="0.8891313477119707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9"/>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Life expectancy at birth (years)</a:t>
                </a:r>
              </a:p>
            </c:rich>
          </c:tx>
          <c:layout>
            <c:manualLayout>
              <c:xMode val="edge"/>
              <c:yMode val="edge"/>
              <c:x val="3.971631205673759E-2"/>
              <c:y val="0.19347848910190574"/>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85336"/>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34259280439332"/>
          <c:y val="5.8951965065502182E-2"/>
          <c:w val="0.7675689181603994"/>
          <c:h val="0.71834061135371174"/>
        </c:manualLayout>
      </c:layout>
      <c:barChart>
        <c:barDir val="col"/>
        <c:grouping val="clustered"/>
        <c:varyColors val="0"/>
        <c:ser>
          <c:idx val="0"/>
          <c:order val="0"/>
          <c:tx>
            <c:strRef>
              <c:f>'Life satisfaction'!$A$10</c:f>
              <c:strCache>
                <c:ptCount val="1"/>
                <c:pt idx="0">
                  <c:v>Overall quality of life - Good, very good or extremely good</c:v>
                </c:pt>
              </c:strCache>
            </c:strRef>
          </c:tx>
          <c:spPr>
            <a:solidFill>
              <a:srgbClr val="6B2E8F"/>
            </a:solidFill>
            <a:ln w="25400">
              <a:noFill/>
            </a:ln>
          </c:spPr>
          <c:invertIfNegative val="0"/>
          <c:cat>
            <c:numRef>
              <c:f>'Life satisfaction'!$B$9:$F$9</c:f>
              <c:numCache>
                <c:formatCode>General</c:formatCode>
                <c:ptCount val="5"/>
                <c:pt idx="0">
                  <c:v>2006</c:v>
                </c:pt>
                <c:pt idx="1">
                  <c:v>2016</c:v>
                </c:pt>
                <c:pt idx="2">
                  <c:v>2018</c:v>
                </c:pt>
                <c:pt idx="3">
                  <c:v>2020</c:v>
                </c:pt>
                <c:pt idx="4">
                  <c:v>2022</c:v>
                </c:pt>
              </c:numCache>
            </c:numRef>
          </c:cat>
          <c:val>
            <c:numRef>
              <c:f>'Life satisfaction'!$B$10:$F$10</c:f>
              <c:numCache>
                <c:formatCode>0</c:formatCode>
                <c:ptCount val="5"/>
                <c:pt idx="0">
                  <c:v>90</c:v>
                </c:pt>
                <c:pt idx="1">
                  <c:v>84</c:v>
                </c:pt>
                <c:pt idx="2">
                  <c:v>87</c:v>
                </c:pt>
                <c:pt idx="3" formatCode="General">
                  <c:v>88</c:v>
                </c:pt>
                <c:pt idx="4">
                  <c:v>86</c:v>
                </c:pt>
              </c:numCache>
            </c:numRef>
          </c:val>
          <c:extLst>
            <c:ext xmlns:c16="http://schemas.microsoft.com/office/drawing/2014/chart" uri="{C3380CC4-5D6E-409C-BE32-E72D297353CC}">
              <c16:uniqueId val="{00000000-39E9-4931-ABEA-B31D46E42B38}"/>
            </c:ext>
          </c:extLst>
        </c:ser>
        <c:dLbls>
          <c:showLegendKey val="0"/>
          <c:showVal val="0"/>
          <c:showCatName val="0"/>
          <c:showSerName val="0"/>
          <c:showPercent val="0"/>
          <c:showBubbleSize val="0"/>
        </c:dLbls>
        <c:gapWidth val="60"/>
        <c:axId val="513084680"/>
        <c:axId val="1"/>
      </c:barChart>
      <c:catAx>
        <c:axId val="513084680"/>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9549644132321302"/>
              <c:y val="0.853711790393013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sz="1050"/>
                  <a:t>Overall quality of life - Good, very good or extremely good</a:t>
                </a:r>
              </a:p>
            </c:rich>
          </c:tx>
          <c:layout>
            <c:manualLayout>
              <c:xMode val="edge"/>
              <c:yMode val="edge"/>
              <c:x val="2.6426426426426425E-2"/>
              <c:y val="0.15473370516185478"/>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513084680"/>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48071828854108"/>
          <c:y val="5.8568329718004339E-2"/>
          <c:w val="0.76709865907558616"/>
          <c:h val="0.77657266811279824"/>
        </c:manualLayout>
      </c:layout>
      <c:barChart>
        <c:barDir val="col"/>
        <c:grouping val="clustered"/>
        <c:varyColors val="0"/>
        <c:ser>
          <c:idx val="0"/>
          <c:order val="0"/>
          <c:tx>
            <c:strRef>
              <c:f>'Perceived health'!$A$9</c:f>
              <c:strCache>
                <c:ptCount val="1"/>
                <c:pt idx="0">
                  <c:v>Percent with good, very good or excellent health</c:v>
                </c:pt>
              </c:strCache>
            </c:strRef>
          </c:tx>
          <c:spPr>
            <a:solidFill>
              <a:srgbClr val="6B2E8F"/>
            </a:solidFill>
            <a:ln w="25400">
              <a:noFill/>
            </a:ln>
          </c:spPr>
          <c:invertIfNegative val="0"/>
          <c:cat>
            <c:numRef>
              <c:f>'Perceived health'!$B$8:$F$8</c:f>
              <c:numCache>
                <c:formatCode>General</c:formatCode>
                <c:ptCount val="5"/>
                <c:pt idx="0">
                  <c:v>2006</c:v>
                </c:pt>
                <c:pt idx="1">
                  <c:v>2016</c:v>
                </c:pt>
                <c:pt idx="2">
                  <c:v>2018</c:v>
                </c:pt>
                <c:pt idx="3">
                  <c:v>2020</c:v>
                </c:pt>
                <c:pt idx="4">
                  <c:v>2022</c:v>
                </c:pt>
              </c:numCache>
            </c:numRef>
          </c:cat>
          <c:val>
            <c:numRef>
              <c:f>'Perceived health'!$B$9:$F$9</c:f>
              <c:numCache>
                <c:formatCode>0</c:formatCode>
                <c:ptCount val="5"/>
                <c:pt idx="0">
                  <c:v>90</c:v>
                </c:pt>
                <c:pt idx="1">
                  <c:v>84</c:v>
                </c:pt>
                <c:pt idx="2">
                  <c:v>79</c:v>
                </c:pt>
                <c:pt idx="3">
                  <c:v>79</c:v>
                </c:pt>
                <c:pt idx="4">
                  <c:v>80</c:v>
                </c:pt>
              </c:numCache>
            </c:numRef>
          </c:val>
          <c:extLst>
            <c:ext xmlns:c16="http://schemas.microsoft.com/office/drawing/2014/chart" uri="{C3380CC4-5D6E-409C-BE32-E72D297353CC}">
              <c16:uniqueId val="{00000000-07FC-442E-B647-3CA3F2879638}"/>
            </c:ext>
          </c:extLst>
        </c:ser>
        <c:dLbls>
          <c:showLegendKey val="0"/>
          <c:showVal val="0"/>
          <c:showCatName val="0"/>
          <c:showSerName val="0"/>
          <c:showPercent val="0"/>
          <c:showBubbleSize val="0"/>
        </c:dLbls>
        <c:gapWidth val="60"/>
        <c:axId val="513089272"/>
        <c:axId val="1"/>
      </c:barChart>
      <c:catAx>
        <c:axId val="513089272"/>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8355855518060248"/>
              <c:y val="0.9139551699204627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Percent with good, very good or excellent
health</a:t>
                </a:r>
              </a:p>
            </c:rich>
          </c:tx>
          <c:layout>
            <c:manualLayout>
              <c:xMode val="edge"/>
              <c:yMode val="edge"/>
              <c:x val="1.171870182893805E-2"/>
              <c:y val="0.1583514099783080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513089272"/>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0442625834755"/>
          <c:y val="6.0869629829345524E-2"/>
          <c:w val="0.79007201638965041"/>
          <c:h val="0.74420358324774605"/>
        </c:manualLayout>
      </c:layout>
      <c:barChart>
        <c:barDir val="col"/>
        <c:grouping val="clustered"/>
        <c:varyColors val="0"/>
        <c:ser>
          <c:idx val="0"/>
          <c:order val="0"/>
          <c:tx>
            <c:strRef>
              <c:f>'Perceptions of safety'!$A$10</c:f>
              <c:strCache>
                <c:ptCount val="1"/>
                <c:pt idx="0">
                  <c:v>Perceived safety walking alone in neighbourhood after dark - Fairly or very safe</c:v>
                </c:pt>
              </c:strCache>
            </c:strRef>
          </c:tx>
          <c:spPr>
            <a:solidFill>
              <a:srgbClr val="6B2E8F"/>
            </a:solidFill>
            <a:ln w="25400">
              <a:noFill/>
            </a:ln>
          </c:spPr>
          <c:invertIfNegative val="0"/>
          <c:cat>
            <c:numRef>
              <c:f>'Perceptions of safety'!$B$9:$F$9</c:f>
              <c:numCache>
                <c:formatCode>General</c:formatCode>
                <c:ptCount val="5"/>
                <c:pt idx="0">
                  <c:v>2006</c:v>
                </c:pt>
                <c:pt idx="1">
                  <c:v>2016</c:v>
                </c:pt>
                <c:pt idx="2">
                  <c:v>2018</c:v>
                </c:pt>
                <c:pt idx="3">
                  <c:v>2020</c:v>
                </c:pt>
                <c:pt idx="4">
                  <c:v>2022</c:v>
                </c:pt>
              </c:numCache>
            </c:numRef>
          </c:cat>
          <c:val>
            <c:numRef>
              <c:f>'Perceptions of safety'!$B$10:$F$10</c:f>
              <c:numCache>
                <c:formatCode>0</c:formatCode>
                <c:ptCount val="5"/>
                <c:pt idx="0">
                  <c:v>60</c:v>
                </c:pt>
                <c:pt idx="1">
                  <c:v>65</c:v>
                </c:pt>
                <c:pt idx="2">
                  <c:v>64</c:v>
                </c:pt>
                <c:pt idx="3">
                  <c:v>62</c:v>
                </c:pt>
                <c:pt idx="4">
                  <c:v>63</c:v>
                </c:pt>
              </c:numCache>
            </c:numRef>
          </c:val>
          <c:extLst>
            <c:ext xmlns:c16="http://schemas.microsoft.com/office/drawing/2014/chart" uri="{C3380CC4-5D6E-409C-BE32-E72D297353CC}">
              <c16:uniqueId val="{00000000-91AD-40EC-8E5A-F85517F85CE8}"/>
            </c:ext>
          </c:extLst>
        </c:ser>
        <c:dLbls>
          <c:showLegendKey val="0"/>
          <c:showVal val="0"/>
          <c:showCatName val="0"/>
          <c:showSerName val="0"/>
          <c:showPercent val="0"/>
          <c:showBubbleSize val="0"/>
        </c:dLbls>
        <c:gapWidth val="60"/>
        <c:axId val="513094520"/>
        <c:axId val="1"/>
      </c:barChart>
      <c:catAx>
        <c:axId val="51309452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7612352711230244"/>
              <c:y val="0.894928449161246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Perceived safety walking alone in neighbourhood after dark - Fairly or very safe</a:t>
                </a:r>
              </a:p>
            </c:rich>
          </c:tx>
          <c:layout>
            <c:manualLayout>
              <c:xMode val="edge"/>
              <c:yMode val="edge"/>
              <c:x val="1.276595744680851E-2"/>
              <c:y val="0.1239132717106013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94520"/>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32811561205451"/>
          <c:y val="0.14910103692659721"/>
          <c:w val="0.63066376976850491"/>
          <c:h val="0.71956501864775091"/>
        </c:manualLayout>
      </c:layout>
      <c:radarChart>
        <c:radarStyle val="marker"/>
        <c:varyColors val="0"/>
        <c:ser>
          <c:idx val="0"/>
          <c:order val="0"/>
          <c:tx>
            <c:strRef>
              <c:f>'WPI Progress Circle short-term'!$V$11:$V$12</c:f>
              <c:strCache>
                <c:ptCount val="2"/>
                <c:pt idx="0">
                  <c:v>2017</c:v>
                </c:pt>
                <c:pt idx="1">
                  <c:v>1.00</c:v>
                </c:pt>
              </c:strCache>
            </c:strRef>
          </c:tx>
          <c:spPr>
            <a:ln w="25400">
              <a:solidFill>
                <a:srgbClr val="000000"/>
              </a:solidFill>
              <a:prstDash val="solid"/>
            </a:ln>
          </c:spPr>
          <c:marker>
            <c:symbol val="none"/>
          </c:marker>
          <c:cat>
            <c:strRef>
              <c:f>'WPI Progress Circle short-term'!$U$13:$U$76</c:f>
              <c:strCache>
                <c:ptCount val="63"/>
                <c:pt idx="0">
                  <c:v>Building activity</c:v>
                </c:pt>
                <c:pt idx="2">
                  <c:v>Employment</c:v>
                </c:pt>
                <c:pt idx="4">
                  <c:v>Income</c:v>
                </c:pt>
                <c:pt idx="6">
                  <c:v>Regional GDP</c:v>
                </c:pt>
                <c:pt idx="8">
                  <c:v>Water use</c:v>
                </c:pt>
                <c:pt idx="10">
                  <c:v>Community engagement</c:v>
                </c:pt>
                <c:pt idx="12">
                  <c:v>Community pride</c:v>
                </c:pt>
                <c:pt idx="14">
                  <c:v>Crime</c:v>
                </c:pt>
                <c:pt idx="16">
                  <c:v>Cultural respect</c:v>
                </c:pt>
                <c:pt idx="18">
                  <c:v>Educational attainment</c:v>
                </c:pt>
                <c:pt idx="20">
                  <c:v>Housing affordability</c:v>
                </c:pt>
                <c:pt idx="22">
                  <c:v>Income inequality</c:v>
                </c:pt>
                <c:pt idx="24">
                  <c:v>Life expectancy</c:v>
                </c:pt>
                <c:pt idx="26">
                  <c:v>Life satisfaction</c:v>
                </c:pt>
                <c:pt idx="28">
                  <c:v>Perceived health</c:v>
                </c:pt>
                <c:pt idx="30">
                  <c:v>Perceptions of safety</c:v>
                </c:pt>
                <c:pt idx="32">
                  <c:v>Physical activity</c:v>
                </c:pt>
                <c:pt idx="34">
                  <c:v>Public transport</c:v>
                </c:pt>
                <c:pt idx="36">
                  <c:v>Road safety</c:v>
                </c:pt>
                <c:pt idx="38">
                  <c:v>Social connectedness</c:v>
                </c:pt>
                <c:pt idx="40">
                  <c:v>Te Reo Māori speakers</c:v>
                </c:pt>
                <c:pt idx="42">
                  <c:v>Voter turnout</c:v>
                </c:pt>
                <c:pt idx="44">
                  <c:v>Air quality</c:v>
                </c:pt>
                <c:pt idx="46">
                  <c:v>Coastal ecosystem health</c:v>
                </c:pt>
                <c:pt idx="48">
                  <c:v>Environmental attitudes</c:v>
                </c:pt>
                <c:pt idx="50">
                  <c:v>Greenhouse gases</c:v>
                </c:pt>
                <c:pt idx="52">
                  <c:v>Indigenous vegetation</c:v>
                </c:pt>
                <c:pt idx="54">
                  <c:v>Recycling</c:v>
                </c:pt>
                <c:pt idx="56">
                  <c:v>Residential expansion</c:v>
                </c:pt>
                <c:pt idx="58">
                  <c:v>River water quality</c:v>
                </c:pt>
                <c:pt idx="60">
                  <c:v>Soil quality</c:v>
                </c:pt>
                <c:pt idx="62">
                  <c:v>Waste</c:v>
                </c:pt>
              </c:strCache>
            </c:strRef>
          </c:cat>
          <c:val>
            <c:numRef>
              <c:f>'WPI Progress Circle short-term'!$V$13:$V$76</c:f>
              <c:numCache>
                <c:formatCode>0.00</c:formatCode>
                <c:ptCount val="6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numCache>
            </c:numRef>
          </c:val>
          <c:extLst>
            <c:ext xmlns:c16="http://schemas.microsoft.com/office/drawing/2014/chart" uri="{C3380CC4-5D6E-409C-BE32-E72D297353CC}">
              <c16:uniqueId val="{00000000-530B-4288-A6A1-911202E94FFF}"/>
            </c:ext>
          </c:extLst>
        </c:ser>
        <c:ser>
          <c:idx val="1"/>
          <c:order val="1"/>
          <c:tx>
            <c:strRef>
              <c:f>'WPI Progress Circle short-term'!$W$11:$W$12</c:f>
              <c:strCache>
                <c:ptCount val="2"/>
                <c:pt idx="0">
                  <c:v>latest</c:v>
                </c:pt>
                <c:pt idx="1">
                  <c:v>0</c:v>
                </c:pt>
              </c:strCache>
            </c:strRef>
          </c:tx>
          <c:spPr>
            <a:ln w="12700">
              <a:solidFill>
                <a:srgbClr val="000000"/>
              </a:solidFill>
              <a:prstDash val="solid"/>
            </a:ln>
          </c:spPr>
          <c:marker>
            <c:symbol val="circle"/>
            <c:size val="7"/>
            <c:spPr>
              <a:solidFill>
                <a:srgbClr val="000000"/>
              </a:solidFill>
              <a:ln>
                <a:solidFill>
                  <a:srgbClr val="000000"/>
                </a:solidFill>
                <a:prstDash val="solid"/>
              </a:ln>
            </c:spPr>
          </c:marker>
          <c:dPt>
            <c:idx val="0"/>
            <c:marker>
              <c:spPr>
                <a:solidFill>
                  <a:srgbClr val="FF0000"/>
                </a:solidFill>
                <a:ln>
                  <a:noFill/>
                  <a:prstDash val="solid"/>
                </a:ln>
              </c:spPr>
            </c:marker>
            <c:bubble3D val="0"/>
            <c:spPr>
              <a:ln w="12700">
                <a:solidFill>
                  <a:srgbClr val="FF0000"/>
                </a:solidFill>
                <a:prstDash val="solid"/>
              </a:ln>
            </c:spPr>
            <c:extLst>
              <c:ext xmlns:c16="http://schemas.microsoft.com/office/drawing/2014/chart" uri="{C3380CC4-5D6E-409C-BE32-E72D297353CC}">
                <c16:uniqueId val="{00000001-530B-4288-A6A1-911202E94FFF}"/>
              </c:ext>
            </c:extLst>
          </c:dPt>
          <c:dPt>
            <c:idx val="1"/>
            <c:marker>
              <c:spPr>
                <a:solidFill>
                  <a:srgbClr val="00B050"/>
                </a:solidFill>
                <a:ln>
                  <a:noFill/>
                  <a:prstDash val="solid"/>
                </a:ln>
              </c:spPr>
            </c:marker>
            <c:bubble3D val="0"/>
            <c:extLst>
              <c:ext xmlns:c16="http://schemas.microsoft.com/office/drawing/2014/chart" uri="{C3380CC4-5D6E-409C-BE32-E72D297353CC}">
                <c16:uniqueId val="{00000002-530B-4288-A6A1-911202E94FFF}"/>
              </c:ext>
            </c:extLst>
          </c:dPt>
          <c:dPt>
            <c:idx val="2"/>
            <c:marker>
              <c:spPr>
                <a:solidFill>
                  <a:srgbClr val="FF0000"/>
                </a:solidFill>
                <a:ln>
                  <a:noFill/>
                  <a:prstDash val="solid"/>
                </a:ln>
              </c:spPr>
            </c:marker>
            <c:bubble3D val="0"/>
            <c:extLst>
              <c:ext xmlns:c16="http://schemas.microsoft.com/office/drawing/2014/chart" uri="{C3380CC4-5D6E-409C-BE32-E72D297353CC}">
                <c16:uniqueId val="{00000003-530B-4288-A6A1-911202E94FFF}"/>
              </c:ext>
            </c:extLst>
          </c:dPt>
          <c:dPt>
            <c:idx val="3"/>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04-530B-4288-A6A1-911202E94FFF}"/>
              </c:ext>
            </c:extLst>
          </c:dPt>
          <c:dPt>
            <c:idx val="4"/>
            <c:marker>
              <c:spPr>
                <a:solidFill>
                  <a:schemeClr val="bg2">
                    <a:lumMod val="50000"/>
                  </a:schemeClr>
                </a:solidFill>
                <a:ln>
                  <a:noFill/>
                  <a:prstDash val="solid"/>
                </a:ln>
              </c:spPr>
            </c:marker>
            <c:bubble3D val="0"/>
            <c:extLst>
              <c:ext xmlns:c16="http://schemas.microsoft.com/office/drawing/2014/chart" uri="{C3380CC4-5D6E-409C-BE32-E72D297353CC}">
                <c16:uniqueId val="{00000005-530B-4288-A6A1-911202E94FFF}"/>
              </c:ext>
            </c:extLst>
          </c:dPt>
          <c:dPt>
            <c:idx val="5"/>
            <c:marker>
              <c:spPr>
                <a:solidFill>
                  <a:srgbClr val="00B050"/>
                </a:solidFill>
                <a:ln>
                  <a:noFill/>
                  <a:prstDash val="solid"/>
                </a:ln>
              </c:spPr>
            </c:marker>
            <c:bubble3D val="0"/>
            <c:extLst>
              <c:ext xmlns:c16="http://schemas.microsoft.com/office/drawing/2014/chart" uri="{C3380CC4-5D6E-409C-BE32-E72D297353CC}">
                <c16:uniqueId val="{00000006-530B-4288-A6A1-911202E94FFF}"/>
              </c:ext>
            </c:extLst>
          </c:dPt>
          <c:dPt>
            <c:idx val="6"/>
            <c:marker>
              <c:spPr>
                <a:solidFill>
                  <a:srgbClr val="00B050"/>
                </a:solidFill>
                <a:ln>
                  <a:solidFill>
                    <a:srgbClr val="00B050"/>
                  </a:solidFill>
                  <a:prstDash val="solid"/>
                </a:ln>
              </c:spPr>
            </c:marker>
            <c:bubble3D val="0"/>
            <c:extLst>
              <c:ext xmlns:c16="http://schemas.microsoft.com/office/drawing/2014/chart" uri="{C3380CC4-5D6E-409C-BE32-E72D297353CC}">
                <c16:uniqueId val="{00000007-530B-4288-A6A1-911202E94FFF}"/>
              </c:ext>
            </c:extLst>
          </c:dPt>
          <c:dPt>
            <c:idx val="7"/>
            <c:marker>
              <c:spPr>
                <a:solidFill>
                  <a:srgbClr val="00B050"/>
                </a:solidFill>
                <a:ln>
                  <a:solidFill>
                    <a:srgbClr val="00B050"/>
                  </a:solidFill>
                  <a:prstDash val="solid"/>
                </a:ln>
              </c:spPr>
            </c:marker>
            <c:bubble3D val="0"/>
            <c:extLst>
              <c:ext xmlns:c16="http://schemas.microsoft.com/office/drawing/2014/chart" uri="{C3380CC4-5D6E-409C-BE32-E72D297353CC}">
                <c16:uniqueId val="{00000008-530B-4288-A6A1-911202E94FFF}"/>
              </c:ext>
            </c:extLst>
          </c:dPt>
          <c:dPt>
            <c:idx val="8"/>
            <c:marker>
              <c:spPr>
                <a:solidFill>
                  <a:srgbClr val="FF0000"/>
                </a:solidFill>
                <a:ln>
                  <a:solidFill>
                    <a:srgbClr val="FF0000"/>
                  </a:solidFill>
                  <a:prstDash val="solid"/>
                </a:ln>
              </c:spPr>
            </c:marker>
            <c:bubble3D val="0"/>
            <c:extLst>
              <c:ext xmlns:c16="http://schemas.microsoft.com/office/drawing/2014/chart" uri="{C3380CC4-5D6E-409C-BE32-E72D297353CC}">
                <c16:uniqueId val="{00000009-530B-4288-A6A1-911202E94FFF}"/>
              </c:ext>
            </c:extLst>
          </c:dPt>
          <c:dPt>
            <c:idx val="9"/>
            <c:marker>
              <c:spPr>
                <a:solidFill>
                  <a:srgbClr val="FF0000"/>
                </a:solidFill>
                <a:ln>
                  <a:noFill/>
                  <a:prstDash val="solid"/>
                </a:ln>
              </c:spPr>
            </c:marker>
            <c:bubble3D val="0"/>
            <c:extLst>
              <c:ext xmlns:c16="http://schemas.microsoft.com/office/drawing/2014/chart" uri="{C3380CC4-5D6E-409C-BE32-E72D297353CC}">
                <c16:uniqueId val="{0000000A-530B-4288-A6A1-911202E94FFF}"/>
              </c:ext>
            </c:extLst>
          </c:dPt>
          <c:dPt>
            <c:idx val="10"/>
            <c:marker>
              <c:spPr>
                <a:solidFill>
                  <a:srgbClr val="FF0000"/>
                </a:solidFill>
                <a:ln>
                  <a:solidFill>
                    <a:srgbClr val="FF0000"/>
                  </a:solidFill>
                  <a:prstDash val="solid"/>
                </a:ln>
              </c:spPr>
            </c:marker>
            <c:bubble3D val="0"/>
            <c:extLst>
              <c:ext xmlns:c16="http://schemas.microsoft.com/office/drawing/2014/chart" uri="{C3380CC4-5D6E-409C-BE32-E72D297353CC}">
                <c16:uniqueId val="{0000000B-530B-4288-A6A1-911202E94FFF}"/>
              </c:ext>
            </c:extLst>
          </c:dPt>
          <c:dPt>
            <c:idx val="11"/>
            <c:marker>
              <c:spPr>
                <a:solidFill>
                  <a:srgbClr val="FF0000"/>
                </a:solidFill>
                <a:ln>
                  <a:solidFill>
                    <a:srgbClr val="FF0000"/>
                  </a:solidFill>
                  <a:prstDash val="solid"/>
                </a:ln>
              </c:spPr>
            </c:marker>
            <c:bubble3D val="0"/>
            <c:extLst>
              <c:ext xmlns:c16="http://schemas.microsoft.com/office/drawing/2014/chart" uri="{C3380CC4-5D6E-409C-BE32-E72D297353CC}">
                <c16:uniqueId val="{0000000C-530B-4288-A6A1-911202E94FFF}"/>
              </c:ext>
            </c:extLst>
          </c:dPt>
          <c:dPt>
            <c:idx val="12"/>
            <c:marker>
              <c:spPr>
                <a:solidFill>
                  <a:srgbClr val="00B050"/>
                </a:solidFill>
                <a:ln>
                  <a:noFill/>
                  <a:prstDash val="solid"/>
                </a:ln>
              </c:spPr>
            </c:marker>
            <c:bubble3D val="0"/>
            <c:extLst>
              <c:ext xmlns:c16="http://schemas.microsoft.com/office/drawing/2014/chart" uri="{C3380CC4-5D6E-409C-BE32-E72D297353CC}">
                <c16:uniqueId val="{0000000D-530B-4288-A6A1-911202E94FFF}"/>
              </c:ext>
            </c:extLst>
          </c:dPt>
          <c:dPt>
            <c:idx val="13"/>
            <c:marker>
              <c:spPr>
                <a:solidFill>
                  <a:srgbClr val="FF0000"/>
                </a:solidFill>
                <a:ln>
                  <a:solidFill>
                    <a:srgbClr val="FF0000"/>
                  </a:solidFill>
                  <a:prstDash val="solid"/>
                </a:ln>
              </c:spPr>
            </c:marker>
            <c:bubble3D val="0"/>
            <c:extLst>
              <c:ext xmlns:c16="http://schemas.microsoft.com/office/drawing/2014/chart" uri="{C3380CC4-5D6E-409C-BE32-E72D297353CC}">
                <c16:uniqueId val="{0000000E-530B-4288-A6A1-911202E94FFF}"/>
              </c:ext>
            </c:extLst>
          </c:dPt>
          <c:dPt>
            <c:idx val="14"/>
            <c:marker>
              <c:spPr>
                <a:solidFill>
                  <a:srgbClr val="FF0000"/>
                </a:solidFill>
                <a:ln>
                  <a:noFill/>
                  <a:prstDash val="solid"/>
                </a:ln>
              </c:spPr>
            </c:marker>
            <c:bubble3D val="0"/>
            <c:extLst>
              <c:ext xmlns:c16="http://schemas.microsoft.com/office/drawing/2014/chart" uri="{C3380CC4-5D6E-409C-BE32-E72D297353CC}">
                <c16:uniqueId val="{0000000F-530B-4288-A6A1-911202E94FFF}"/>
              </c:ext>
            </c:extLst>
          </c:dPt>
          <c:dPt>
            <c:idx val="15"/>
            <c:marker>
              <c:spPr>
                <a:solidFill>
                  <a:srgbClr val="00B050"/>
                </a:solidFill>
                <a:ln>
                  <a:noFill/>
                  <a:prstDash val="solid"/>
                </a:ln>
              </c:spPr>
            </c:marker>
            <c:bubble3D val="0"/>
            <c:extLst>
              <c:ext xmlns:c16="http://schemas.microsoft.com/office/drawing/2014/chart" uri="{C3380CC4-5D6E-409C-BE32-E72D297353CC}">
                <c16:uniqueId val="{00000010-530B-4288-A6A1-911202E94FFF}"/>
              </c:ext>
            </c:extLst>
          </c:dPt>
          <c:dPt>
            <c:idx val="16"/>
            <c:marker>
              <c:spPr>
                <a:solidFill>
                  <a:srgbClr val="FF0000"/>
                </a:solidFill>
                <a:ln>
                  <a:solidFill>
                    <a:srgbClr val="FF0000"/>
                  </a:solidFill>
                  <a:prstDash val="solid"/>
                </a:ln>
              </c:spPr>
            </c:marker>
            <c:bubble3D val="0"/>
            <c:extLst>
              <c:ext xmlns:c16="http://schemas.microsoft.com/office/drawing/2014/chart" uri="{C3380CC4-5D6E-409C-BE32-E72D297353CC}">
                <c16:uniqueId val="{00000011-530B-4288-A6A1-911202E94FFF}"/>
              </c:ext>
            </c:extLst>
          </c:dPt>
          <c:dPt>
            <c:idx val="17"/>
            <c:marker>
              <c:spPr>
                <a:solidFill>
                  <a:srgbClr val="FF0000"/>
                </a:solidFill>
                <a:ln>
                  <a:noFill/>
                  <a:prstDash val="solid"/>
                </a:ln>
              </c:spPr>
            </c:marker>
            <c:bubble3D val="0"/>
            <c:extLst>
              <c:ext xmlns:c16="http://schemas.microsoft.com/office/drawing/2014/chart" uri="{C3380CC4-5D6E-409C-BE32-E72D297353CC}">
                <c16:uniqueId val="{00000012-530B-4288-A6A1-911202E94FFF}"/>
              </c:ext>
            </c:extLst>
          </c:dPt>
          <c:dPt>
            <c:idx val="18"/>
            <c:marker>
              <c:spPr>
                <a:solidFill>
                  <a:srgbClr val="FF0000"/>
                </a:solidFill>
                <a:ln>
                  <a:noFill/>
                  <a:prstDash val="solid"/>
                </a:ln>
              </c:spPr>
            </c:marker>
            <c:bubble3D val="0"/>
            <c:extLst>
              <c:ext xmlns:c16="http://schemas.microsoft.com/office/drawing/2014/chart" uri="{C3380CC4-5D6E-409C-BE32-E72D297353CC}">
                <c16:uniqueId val="{00000013-530B-4288-A6A1-911202E94FFF}"/>
              </c:ext>
            </c:extLst>
          </c:dPt>
          <c:dPt>
            <c:idx val="19"/>
            <c:marker>
              <c:spPr>
                <a:solidFill>
                  <a:srgbClr val="00B050"/>
                </a:solidFill>
                <a:ln>
                  <a:solidFill>
                    <a:srgbClr val="00B050"/>
                  </a:solidFill>
                  <a:prstDash val="solid"/>
                </a:ln>
              </c:spPr>
            </c:marker>
            <c:bubble3D val="0"/>
            <c:extLst>
              <c:ext xmlns:c16="http://schemas.microsoft.com/office/drawing/2014/chart" uri="{C3380CC4-5D6E-409C-BE32-E72D297353CC}">
                <c16:uniqueId val="{00000014-530B-4288-A6A1-911202E94FFF}"/>
              </c:ext>
            </c:extLst>
          </c:dPt>
          <c:dPt>
            <c:idx val="20"/>
            <c:marker>
              <c:spPr>
                <a:solidFill>
                  <a:srgbClr val="FF0000"/>
                </a:solidFill>
                <a:ln>
                  <a:noFill/>
                  <a:prstDash val="solid"/>
                </a:ln>
              </c:spPr>
            </c:marker>
            <c:bubble3D val="0"/>
            <c:extLst>
              <c:ext xmlns:c16="http://schemas.microsoft.com/office/drawing/2014/chart" uri="{C3380CC4-5D6E-409C-BE32-E72D297353CC}">
                <c16:uniqueId val="{00000015-530B-4288-A6A1-911202E94FFF}"/>
              </c:ext>
            </c:extLst>
          </c:dPt>
          <c:dPt>
            <c:idx val="21"/>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6-530B-4288-A6A1-911202E94FFF}"/>
              </c:ext>
            </c:extLst>
          </c:dPt>
          <c:dPt>
            <c:idx val="22"/>
            <c:marker>
              <c:spPr>
                <a:solidFill>
                  <a:srgbClr val="948A54"/>
                </a:solidFill>
                <a:ln>
                  <a:noFill/>
                  <a:prstDash val="solid"/>
                </a:ln>
              </c:spPr>
            </c:marker>
            <c:bubble3D val="0"/>
            <c:extLst>
              <c:ext xmlns:c16="http://schemas.microsoft.com/office/drawing/2014/chart" uri="{C3380CC4-5D6E-409C-BE32-E72D297353CC}">
                <c16:uniqueId val="{00000017-530B-4288-A6A1-911202E94FFF}"/>
              </c:ext>
            </c:extLst>
          </c:dPt>
          <c:dPt>
            <c:idx val="23"/>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8-530B-4288-A6A1-911202E94FFF}"/>
              </c:ext>
            </c:extLst>
          </c:dPt>
          <c:dPt>
            <c:idx val="24"/>
            <c:marker>
              <c:spPr>
                <a:solidFill>
                  <a:schemeClr val="bg2">
                    <a:lumMod val="50000"/>
                  </a:schemeClr>
                </a:solidFill>
                <a:ln>
                  <a:noFill/>
                  <a:prstDash val="solid"/>
                </a:ln>
              </c:spPr>
            </c:marker>
            <c:bubble3D val="0"/>
            <c:extLst>
              <c:ext xmlns:c16="http://schemas.microsoft.com/office/drawing/2014/chart" uri="{C3380CC4-5D6E-409C-BE32-E72D297353CC}">
                <c16:uniqueId val="{00000019-530B-4288-A6A1-911202E94FFF}"/>
              </c:ext>
            </c:extLst>
          </c:dPt>
          <c:dPt>
            <c:idx val="25"/>
            <c:marker>
              <c:spPr>
                <a:solidFill>
                  <a:srgbClr val="00B050"/>
                </a:solidFill>
                <a:ln>
                  <a:solidFill>
                    <a:srgbClr val="00B050"/>
                  </a:solidFill>
                  <a:prstDash val="solid"/>
                </a:ln>
              </c:spPr>
            </c:marker>
            <c:bubble3D val="0"/>
            <c:extLst>
              <c:ext xmlns:c16="http://schemas.microsoft.com/office/drawing/2014/chart" uri="{C3380CC4-5D6E-409C-BE32-E72D297353CC}">
                <c16:uniqueId val="{0000001A-530B-4288-A6A1-911202E94FFF}"/>
              </c:ext>
            </c:extLst>
          </c:dPt>
          <c:dPt>
            <c:idx val="26"/>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B-530B-4288-A6A1-911202E94FFF}"/>
              </c:ext>
            </c:extLst>
          </c:dPt>
          <c:dPt>
            <c:idx val="27"/>
            <c:marker>
              <c:spPr>
                <a:solidFill>
                  <a:srgbClr val="FF0000"/>
                </a:solidFill>
                <a:ln>
                  <a:noFill/>
                  <a:prstDash val="solid"/>
                </a:ln>
              </c:spPr>
            </c:marker>
            <c:bubble3D val="0"/>
            <c:extLst>
              <c:ext xmlns:c16="http://schemas.microsoft.com/office/drawing/2014/chart" uri="{C3380CC4-5D6E-409C-BE32-E72D297353CC}">
                <c16:uniqueId val="{0000001C-530B-4288-A6A1-911202E94FFF}"/>
              </c:ext>
            </c:extLst>
          </c:dPt>
          <c:dPt>
            <c:idx val="28"/>
            <c:marker>
              <c:spPr>
                <a:solidFill>
                  <a:schemeClr val="bg2">
                    <a:lumMod val="50000"/>
                  </a:schemeClr>
                </a:solidFill>
                <a:ln>
                  <a:noFill/>
                  <a:prstDash val="solid"/>
                </a:ln>
              </c:spPr>
            </c:marker>
            <c:bubble3D val="0"/>
            <c:extLst>
              <c:ext xmlns:c16="http://schemas.microsoft.com/office/drawing/2014/chart" uri="{C3380CC4-5D6E-409C-BE32-E72D297353CC}">
                <c16:uniqueId val="{0000001D-530B-4288-A6A1-911202E94FFF}"/>
              </c:ext>
            </c:extLst>
          </c:dPt>
          <c:dPt>
            <c:idx val="29"/>
            <c:marker>
              <c:spPr>
                <a:solidFill>
                  <a:srgbClr val="FF0000"/>
                </a:solidFill>
                <a:ln>
                  <a:solidFill>
                    <a:srgbClr val="FF0000"/>
                  </a:solidFill>
                  <a:prstDash val="solid"/>
                </a:ln>
              </c:spPr>
            </c:marker>
            <c:bubble3D val="0"/>
            <c:spPr>
              <a:ln w="12700">
                <a:solidFill>
                  <a:srgbClr val="00B050"/>
                </a:solidFill>
                <a:prstDash val="solid"/>
              </a:ln>
            </c:spPr>
            <c:extLst>
              <c:ext xmlns:c16="http://schemas.microsoft.com/office/drawing/2014/chart" uri="{C3380CC4-5D6E-409C-BE32-E72D297353CC}">
                <c16:uniqueId val="{0000001F-530B-4288-A6A1-911202E94FFF}"/>
              </c:ext>
            </c:extLst>
          </c:dPt>
          <c:dPt>
            <c:idx val="30"/>
            <c:marker>
              <c:spPr>
                <a:solidFill>
                  <a:schemeClr val="bg2">
                    <a:lumMod val="50000"/>
                  </a:schemeClr>
                </a:solidFill>
                <a:ln>
                  <a:noFill/>
                  <a:prstDash val="solid"/>
                </a:ln>
              </c:spPr>
            </c:marker>
            <c:bubble3D val="0"/>
            <c:extLst>
              <c:ext xmlns:c16="http://schemas.microsoft.com/office/drawing/2014/chart" uri="{C3380CC4-5D6E-409C-BE32-E72D297353CC}">
                <c16:uniqueId val="{00000020-530B-4288-A6A1-911202E94FFF}"/>
              </c:ext>
            </c:extLst>
          </c:dPt>
          <c:dPt>
            <c:idx val="31"/>
            <c:marker>
              <c:spPr>
                <a:solidFill>
                  <a:srgbClr val="00B050"/>
                </a:solidFill>
                <a:ln>
                  <a:solidFill>
                    <a:srgbClr val="00B050"/>
                  </a:solidFill>
                  <a:prstDash val="solid"/>
                </a:ln>
              </c:spPr>
            </c:marker>
            <c:bubble3D val="0"/>
            <c:extLst>
              <c:ext xmlns:c16="http://schemas.microsoft.com/office/drawing/2014/chart" uri="{C3380CC4-5D6E-409C-BE32-E72D297353CC}">
                <c16:uniqueId val="{00000021-530B-4288-A6A1-911202E94FFF}"/>
              </c:ext>
            </c:extLst>
          </c:dPt>
          <c:dPt>
            <c:idx val="32"/>
            <c:marker>
              <c:spPr>
                <a:solidFill>
                  <a:srgbClr val="948A54"/>
                </a:solidFill>
                <a:ln>
                  <a:noFill/>
                  <a:prstDash val="solid"/>
                </a:ln>
              </c:spPr>
            </c:marker>
            <c:bubble3D val="0"/>
            <c:extLst>
              <c:ext xmlns:c16="http://schemas.microsoft.com/office/drawing/2014/chart" uri="{C3380CC4-5D6E-409C-BE32-E72D297353CC}">
                <c16:uniqueId val="{00000022-530B-4288-A6A1-911202E94FFF}"/>
              </c:ext>
            </c:extLst>
          </c:dPt>
          <c:dPt>
            <c:idx val="33"/>
            <c:marker>
              <c:spPr>
                <a:solidFill>
                  <a:srgbClr val="FF0000"/>
                </a:solidFill>
                <a:ln>
                  <a:solidFill>
                    <a:srgbClr val="FF0000"/>
                  </a:solidFill>
                  <a:prstDash val="solid"/>
                </a:ln>
              </c:spPr>
            </c:marker>
            <c:bubble3D val="0"/>
            <c:extLst>
              <c:ext xmlns:c16="http://schemas.microsoft.com/office/drawing/2014/chart" uri="{C3380CC4-5D6E-409C-BE32-E72D297353CC}">
                <c16:uniqueId val="{00000023-530B-4288-A6A1-911202E94FFF}"/>
              </c:ext>
            </c:extLst>
          </c:dPt>
          <c:dPt>
            <c:idx val="34"/>
            <c:marker>
              <c:spPr>
                <a:solidFill>
                  <a:srgbClr val="FF0000"/>
                </a:solidFill>
                <a:ln>
                  <a:solidFill>
                    <a:srgbClr val="FF0000"/>
                  </a:solidFill>
                  <a:prstDash val="solid"/>
                </a:ln>
              </c:spPr>
            </c:marker>
            <c:bubble3D val="0"/>
            <c:extLst>
              <c:ext xmlns:c16="http://schemas.microsoft.com/office/drawing/2014/chart" uri="{C3380CC4-5D6E-409C-BE32-E72D297353CC}">
                <c16:uniqueId val="{00000024-530B-4288-A6A1-911202E94FFF}"/>
              </c:ext>
            </c:extLst>
          </c:dPt>
          <c:dPt>
            <c:idx val="35"/>
            <c:marker>
              <c:spPr>
                <a:solidFill>
                  <a:srgbClr val="FF0000"/>
                </a:solidFill>
                <a:ln>
                  <a:noFill/>
                  <a:prstDash val="solid"/>
                </a:ln>
              </c:spPr>
            </c:marker>
            <c:bubble3D val="0"/>
            <c:extLst>
              <c:ext xmlns:c16="http://schemas.microsoft.com/office/drawing/2014/chart" uri="{C3380CC4-5D6E-409C-BE32-E72D297353CC}">
                <c16:uniqueId val="{00000025-530B-4288-A6A1-911202E94FFF}"/>
              </c:ext>
            </c:extLst>
          </c:dPt>
          <c:dPt>
            <c:idx val="36"/>
            <c:marker>
              <c:spPr>
                <a:solidFill>
                  <a:srgbClr val="00B050"/>
                </a:solidFill>
                <a:ln>
                  <a:noFill/>
                  <a:prstDash val="solid"/>
                </a:ln>
              </c:spPr>
            </c:marker>
            <c:bubble3D val="0"/>
            <c:spPr>
              <a:ln w="12700">
                <a:noFill/>
                <a:prstDash val="solid"/>
              </a:ln>
            </c:spPr>
            <c:extLst>
              <c:ext xmlns:c16="http://schemas.microsoft.com/office/drawing/2014/chart" uri="{C3380CC4-5D6E-409C-BE32-E72D297353CC}">
                <c16:uniqueId val="{00000027-530B-4288-A6A1-911202E94FFF}"/>
              </c:ext>
            </c:extLst>
          </c:dPt>
          <c:dPt>
            <c:idx val="37"/>
            <c:marker>
              <c:spPr>
                <a:solidFill>
                  <a:srgbClr val="00B050"/>
                </a:solidFill>
                <a:ln>
                  <a:noFill/>
                  <a:prstDash val="solid"/>
                </a:ln>
              </c:spPr>
            </c:marker>
            <c:bubble3D val="0"/>
            <c:extLst>
              <c:ext xmlns:c16="http://schemas.microsoft.com/office/drawing/2014/chart" uri="{C3380CC4-5D6E-409C-BE32-E72D297353CC}">
                <c16:uniqueId val="{00000028-530B-4288-A6A1-911202E94FFF}"/>
              </c:ext>
            </c:extLst>
          </c:dPt>
          <c:dPt>
            <c:idx val="38"/>
            <c:marker>
              <c:spPr>
                <a:solidFill>
                  <a:srgbClr val="FF0000"/>
                </a:solidFill>
                <a:ln>
                  <a:solidFill>
                    <a:srgbClr val="FF0000"/>
                  </a:solidFill>
                  <a:prstDash val="solid"/>
                </a:ln>
              </c:spPr>
            </c:marker>
            <c:bubble3D val="0"/>
            <c:extLst>
              <c:ext xmlns:c16="http://schemas.microsoft.com/office/drawing/2014/chart" uri="{C3380CC4-5D6E-409C-BE32-E72D297353CC}">
                <c16:uniqueId val="{00000029-530B-4288-A6A1-911202E94FFF}"/>
              </c:ext>
            </c:extLst>
          </c:dPt>
          <c:dPt>
            <c:idx val="39"/>
            <c:marker>
              <c:spPr>
                <a:solidFill>
                  <a:srgbClr val="FF0000"/>
                </a:solidFill>
                <a:ln>
                  <a:noFill/>
                  <a:prstDash val="solid"/>
                </a:ln>
              </c:spPr>
            </c:marker>
            <c:bubble3D val="0"/>
            <c:extLst>
              <c:ext xmlns:c16="http://schemas.microsoft.com/office/drawing/2014/chart" uri="{C3380CC4-5D6E-409C-BE32-E72D297353CC}">
                <c16:uniqueId val="{0000002A-530B-4288-A6A1-911202E94FFF}"/>
              </c:ext>
            </c:extLst>
          </c:dPt>
          <c:dPt>
            <c:idx val="40"/>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2B-530B-4288-A6A1-911202E94FFF}"/>
              </c:ext>
            </c:extLst>
          </c:dPt>
          <c:dPt>
            <c:idx val="41"/>
            <c:marker>
              <c:spPr>
                <a:solidFill>
                  <a:schemeClr val="bg2">
                    <a:lumMod val="50000"/>
                  </a:schemeClr>
                </a:solidFill>
                <a:ln>
                  <a:noFill/>
                  <a:prstDash val="solid"/>
                </a:ln>
              </c:spPr>
            </c:marker>
            <c:bubble3D val="0"/>
            <c:extLst>
              <c:ext xmlns:c16="http://schemas.microsoft.com/office/drawing/2014/chart" uri="{C3380CC4-5D6E-409C-BE32-E72D297353CC}">
                <c16:uniqueId val="{0000002C-530B-4288-A6A1-911202E94FFF}"/>
              </c:ext>
            </c:extLst>
          </c:dPt>
          <c:dPt>
            <c:idx val="42"/>
            <c:marker>
              <c:spPr>
                <a:solidFill>
                  <a:srgbClr val="948A54"/>
                </a:solidFill>
                <a:ln>
                  <a:noFill/>
                  <a:prstDash val="solid"/>
                </a:ln>
              </c:spPr>
            </c:marker>
            <c:bubble3D val="0"/>
            <c:spPr>
              <a:ln w="12700">
                <a:noFill/>
                <a:prstDash val="solid"/>
              </a:ln>
            </c:spPr>
            <c:extLst>
              <c:ext xmlns:c16="http://schemas.microsoft.com/office/drawing/2014/chart" uri="{C3380CC4-5D6E-409C-BE32-E72D297353CC}">
                <c16:uniqueId val="{0000002E-530B-4288-A6A1-911202E94FFF}"/>
              </c:ext>
            </c:extLst>
          </c:dPt>
          <c:dPt>
            <c:idx val="43"/>
            <c:marker>
              <c:spPr>
                <a:solidFill>
                  <a:srgbClr val="00B050"/>
                </a:solidFill>
                <a:ln>
                  <a:noFill/>
                  <a:prstDash val="solid"/>
                </a:ln>
              </c:spPr>
            </c:marker>
            <c:bubble3D val="0"/>
            <c:extLst>
              <c:ext xmlns:c16="http://schemas.microsoft.com/office/drawing/2014/chart" uri="{C3380CC4-5D6E-409C-BE32-E72D297353CC}">
                <c16:uniqueId val="{0000002F-530B-4288-A6A1-911202E94FFF}"/>
              </c:ext>
            </c:extLst>
          </c:dPt>
          <c:dPt>
            <c:idx val="44"/>
            <c:marker>
              <c:spPr>
                <a:solidFill>
                  <a:srgbClr val="FF0000"/>
                </a:solidFill>
                <a:ln>
                  <a:noFill/>
                  <a:prstDash val="solid"/>
                </a:ln>
              </c:spPr>
            </c:marker>
            <c:bubble3D val="0"/>
            <c:extLst>
              <c:ext xmlns:c16="http://schemas.microsoft.com/office/drawing/2014/chart" uri="{C3380CC4-5D6E-409C-BE32-E72D297353CC}">
                <c16:uniqueId val="{00000030-530B-4288-A6A1-911202E94FFF}"/>
              </c:ext>
            </c:extLst>
          </c:dPt>
          <c:dPt>
            <c:idx val="45"/>
            <c:marker>
              <c:spPr>
                <a:solidFill>
                  <a:srgbClr val="00B050"/>
                </a:solidFill>
                <a:ln>
                  <a:noFill/>
                  <a:prstDash val="solid"/>
                </a:ln>
              </c:spPr>
            </c:marker>
            <c:bubble3D val="0"/>
            <c:extLst>
              <c:ext xmlns:c16="http://schemas.microsoft.com/office/drawing/2014/chart" uri="{C3380CC4-5D6E-409C-BE32-E72D297353CC}">
                <c16:uniqueId val="{00000031-530B-4288-A6A1-911202E94FFF}"/>
              </c:ext>
            </c:extLst>
          </c:dPt>
          <c:dPt>
            <c:idx val="46"/>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2-530B-4288-A6A1-911202E94FFF}"/>
              </c:ext>
            </c:extLst>
          </c:dPt>
          <c:dPt>
            <c:idx val="47"/>
            <c:marker>
              <c:spPr>
                <a:solidFill>
                  <a:schemeClr val="bg2">
                    <a:lumMod val="50000"/>
                  </a:schemeClr>
                </a:solidFill>
                <a:ln>
                  <a:noFill/>
                  <a:prstDash val="solid"/>
                </a:ln>
              </c:spPr>
            </c:marker>
            <c:bubble3D val="0"/>
            <c:extLst>
              <c:ext xmlns:c16="http://schemas.microsoft.com/office/drawing/2014/chart" uri="{C3380CC4-5D6E-409C-BE32-E72D297353CC}">
                <c16:uniqueId val="{00000033-530B-4288-A6A1-911202E94FFF}"/>
              </c:ext>
            </c:extLst>
          </c:dPt>
          <c:dPt>
            <c:idx val="48"/>
            <c:marker>
              <c:spPr>
                <a:solidFill>
                  <a:srgbClr val="948A54"/>
                </a:solidFill>
                <a:ln>
                  <a:noFill/>
                  <a:prstDash val="solid"/>
                </a:ln>
              </c:spPr>
            </c:marker>
            <c:bubble3D val="0"/>
            <c:extLst>
              <c:ext xmlns:c16="http://schemas.microsoft.com/office/drawing/2014/chart" uri="{C3380CC4-5D6E-409C-BE32-E72D297353CC}">
                <c16:uniqueId val="{00000034-530B-4288-A6A1-911202E94FFF}"/>
              </c:ext>
            </c:extLst>
          </c:dPt>
          <c:dPt>
            <c:idx val="49"/>
            <c:marker>
              <c:spPr>
                <a:solidFill>
                  <a:schemeClr val="bg2">
                    <a:lumMod val="50000"/>
                  </a:schemeClr>
                </a:solidFill>
                <a:ln>
                  <a:noFill/>
                  <a:prstDash val="solid"/>
                </a:ln>
              </c:spPr>
            </c:marker>
            <c:bubble3D val="0"/>
            <c:extLst>
              <c:ext xmlns:c16="http://schemas.microsoft.com/office/drawing/2014/chart" uri="{C3380CC4-5D6E-409C-BE32-E72D297353CC}">
                <c16:uniqueId val="{00000035-530B-4288-A6A1-911202E94FFF}"/>
              </c:ext>
            </c:extLst>
          </c:dPt>
          <c:dPt>
            <c:idx val="50"/>
            <c:marker>
              <c:spPr>
                <a:solidFill>
                  <a:srgbClr val="948A54"/>
                </a:solidFill>
                <a:ln>
                  <a:noFill/>
                  <a:prstDash val="solid"/>
                </a:ln>
              </c:spPr>
            </c:marker>
            <c:bubble3D val="0"/>
            <c:extLst>
              <c:ext xmlns:c16="http://schemas.microsoft.com/office/drawing/2014/chart" uri="{C3380CC4-5D6E-409C-BE32-E72D297353CC}">
                <c16:uniqueId val="{00000036-530B-4288-A6A1-911202E94FFF}"/>
              </c:ext>
            </c:extLst>
          </c:dPt>
          <c:dPt>
            <c:idx val="51"/>
            <c:marker>
              <c:spPr>
                <a:solidFill>
                  <a:schemeClr val="bg2">
                    <a:lumMod val="50000"/>
                  </a:schemeClr>
                </a:solidFill>
                <a:ln>
                  <a:noFill/>
                  <a:prstDash val="solid"/>
                </a:ln>
              </c:spPr>
            </c:marker>
            <c:bubble3D val="0"/>
            <c:extLst>
              <c:ext xmlns:c16="http://schemas.microsoft.com/office/drawing/2014/chart" uri="{C3380CC4-5D6E-409C-BE32-E72D297353CC}">
                <c16:uniqueId val="{00000037-530B-4288-A6A1-911202E94FFF}"/>
              </c:ext>
            </c:extLst>
          </c:dPt>
          <c:dPt>
            <c:idx val="52"/>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8-530B-4288-A6A1-911202E94FFF}"/>
              </c:ext>
            </c:extLst>
          </c:dPt>
          <c:dPt>
            <c:idx val="53"/>
            <c:marker>
              <c:spPr>
                <a:solidFill>
                  <a:schemeClr val="bg2">
                    <a:lumMod val="50000"/>
                  </a:schemeClr>
                </a:solidFill>
                <a:ln>
                  <a:noFill/>
                  <a:prstDash val="solid"/>
                </a:ln>
              </c:spPr>
            </c:marker>
            <c:bubble3D val="0"/>
            <c:extLst>
              <c:ext xmlns:c16="http://schemas.microsoft.com/office/drawing/2014/chart" uri="{C3380CC4-5D6E-409C-BE32-E72D297353CC}">
                <c16:uniqueId val="{00000039-530B-4288-A6A1-911202E94FFF}"/>
              </c:ext>
            </c:extLst>
          </c:dPt>
          <c:dPt>
            <c:idx val="54"/>
            <c:marker>
              <c:spPr>
                <a:solidFill>
                  <a:schemeClr val="bg2">
                    <a:lumMod val="50000"/>
                  </a:schemeClr>
                </a:solidFill>
                <a:ln>
                  <a:noFill/>
                  <a:prstDash val="solid"/>
                </a:ln>
              </c:spPr>
            </c:marker>
            <c:bubble3D val="0"/>
            <c:extLst>
              <c:ext xmlns:c16="http://schemas.microsoft.com/office/drawing/2014/chart" uri="{C3380CC4-5D6E-409C-BE32-E72D297353CC}">
                <c16:uniqueId val="{0000003A-530B-4288-A6A1-911202E94FFF}"/>
              </c:ext>
            </c:extLst>
          </c:dPt>
          <c:dPt>
            <c:idx val="55"/>
            <c:marker>
              <c:spPr>
                <a:solidFill>
                  <a:srgbClr val="00B050"/>
                </a:solidFill>
                <a:ln>
                  <a:noFill/>
                  <a:prstDash val="solid"/>
                </a:ln>
              </c:spPr>
            </c:marker>
            <c:bubble3D val="0"/>
            <c:extLst>
              <c:ext xmlns:c16="http://schemas.microsoft.com/office/drawing/2014/chart" uri="{C3380CC4-5D6E-409C-BE32-E72D297353CC}">
                <c16:uniqueId val="{0000003B-530B-4288-A6A1-911202E94FFF}"/>
              </c:ext>
            </c:extLst>
          </c:dPt>
          <c:dPt>
            <c:idx val="56"/>
            <c:marker>
              <c:spPr>
                <a:solidFill>
                  <a:schemeClr val="bg2">
                    <a:lumMod val="50000"/>
                  </a:schemeClr>
                </a:solidFill>
                <a:ln>
                  <a:noFill/>
                  <a:prstDash val="solid"/>
                </a:ln>
              </c:spPr>
            </c:marker>
            <c:bubble3D val="0"/>
            <c:extLst>
              <c:ext xmlns:c16="http://schemas.microsoft.com/office/drawing/2014/chart" uri="{C3380CC4-5D6E-409C-BE32-E72D297353CC}">
                <c16:uniqueId val="{0000003C-530B-4288-A6A1-911202E94FFF}"/>
              </c:ext>
            </c:extLst>
          </c:dPt>
          <c:dPt>
            <c:idx val="57"/>
            <c:marker>
              <c:spPr>
                <a:solidFill>
                  <a:srgbClr val="FF0000"/>
                </a:solidFill>
                <a:ln>
                  <a:noFill/>
                  <a:prstDash val="solid"/>
                </a:ln>
              </c:spPr>
            </c:marker>
            <c:bubble3D val="0"/>
            <c:extLst>
              <c:ext xmlns:c16="http://schemas.microsoft.com/office/drawing/2014/chart" uri="{C3380CC4-5D6E-409C-BE32-E72D297353CC}">
                <c16:uniqueId val="{0000003D-530B-4288-A6A1-911202E94FFF}"/>
              </c:ext>
            </c:extLst>
          </c:dPt>
          <c:dPt>
            <c:idx val="58"/>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E-530B-4288-A6A1-911202E94FFF}"/>
              </c:ext>
            </c:extLst>
          </c:dPt>
          <c:dPt>
            <c:idx val="59"/>
            <c:marker>
              <c:spPr>
                <a:solidFill>
                  <a:schemeClr val="bg2">
                    <a:lumMod val="50000"/>
                  </a:schemeClr>
                </a:solidFill>
                <a:ln>
                  <a:noFill/>
                  <a:prstDash val="solid"/>
                </a:ln>
              </c:spPr>
            </c:marker>
            <c:bubble3D val="0"/>
            <c:extLst>
              <c:ext xmlns:c16="http://schemas.microsoft.com/office/drawing/2014/chart" uri="{C3380CC4-5D6E-409C-BE32-E72D297353CC}">
                <c16:uniqueId val="{0000003F-530B-4288-A6A1-911202E94FFF}"/>
              </c:ext>
            </c:extLst>
          </c:dPt>
          <c:dPt>
            <c:idx val="60"/>
            <c:marker>
              <c:spPr>
                <a:solidFill>
                  <a:srgbClr val="00B050"/>
                </a:solidFill>
                <a:ln>
                  <a:noFill/>
                  <a:prstDash val="solid"/>
                </a:ln>
              </c:spPr>
            </c:marker>
            <c:bubble3D val="0"/>
            <c:extLst>
              <c:ext xmlns:c16="http://schemas.microsoft.com/office/drawing/2014/chart" uri="{C3380CC4-5D6E-409C-BE32-E72D297353CC}">
                <c16:uniqueId val="{00000040-530B-4288-A6A1-911202E94FFF}"/>
              </c:ext>
            </c:extLst>
          </c:dPt>
          <c:dPt>
            <c:idx val="61"/>
            <c:marker>
              <c:spPr>
                <a:solidFill>
                  <a:srgbClr val="00B050"/>
                </a:solidFill>
                <a:ln>
                  <a:noFill/>
                  <a:prstDash val="solid"/>
                </a:ln>
              </c:spPr>
            </c:marker>
            <c:bubble3D val="0"/>
            <c:extLst>
              <c:ext xmlns:c16="http://schemas.microsoft.com/office/drawing/2014/chart" uri="{C3380CC4-5D6E-409C-BE32-E72D297353CC}">
                <c16:uniqueId val="{00000041-530B-4288-A6A1-911202E94FFF}"/>
              </c:ext>
            </c:extLst>
          </c:dPt>
          <c:dPt>
            <c:idx val="62"/>
            <c:marker>
              <c:spPr>
                <a:solidFill>
                  <a:srgbClr val="FF0000"/>
                </a:solidFill>
                <a:ln>
                  <a:solidFill>
                    <a:srgbClr val="FF0000">
                      <a:alpha val="99000"/>
                    </a:srgbClr>
                  </a:solidFill>
                  <a:prstDash val="solid"/>
                </a:ln>
              </c:spPr>
            </c:marker>
            <c:bubble3D val="0"/>
            <c:extLst>
              <c:ext xmlns:c16="http://schemas.microsoft.com/office/drawing/2014/chart" uri="{C3380CC4-5D6E-409C-BE32-E72D297353CC}">
                <c16:uniqueId val="{00000042-530B-4288-A6A1-911202E94FFF}"/>
              </c:ext>
            </c:extLst>
          </c:dPt>
          <c:dPt>
            <c:idx val="63"/>
            <c:marker>
              <c:spPr>
                <a:solidFill>
                  <a:srgbClr val="FF0000"/>
                </a:solidFill>
                <a:ln>
                  <a:noFill/>
                  <a:prstDash val="solid"/>
                </a:ln>
              </c:spPr>
            </c:marker>
            <c:bubble3D val="0"/>
            <c:spPr>
              <a:ln w="12700">
                <a:solidFill>
                  <a:schemeClr val="tx1"/>
                </a:solidFill>
                <a:prstDash val="solid"/>
              </a:ln>
            </c:spPr>
            <c:extLst>
              <c:ext xmlns:c16="http://schemas.microsoft.com/office/drawing/2014/chart" uri="{C3380CC4-5D6E-409C-BE32-E72D297353CC}">
                <c16:uniqueId val="{00000044-530B-4288-A6A1-911202E94FFF}"/>
              </c:ext>
            </c:extLst>
          </c:dPt>
          <c:cat>
            <c:strRef>
              <c:f>'WPI Progress Circle short-term'!$U$13:$U$76</c:f>
              <c:strCache>
                <c:ptCount val="63"/>
                <c:pt idx="0">
                  <c:v>Building activity</c:v>
                </c:pt>
                <c:pt idx="2">
                  <c:v>Employment</c:v>
                </c:pt>
                <c:pt idx="4">
                  <c:v>Income</c:v>
                </c:pt>
                <c:pt idx="6">
                  <c:v>Regional GDP</c:v>
                </c:pt>
                <c:pt idx="8">
                  <c:v>Water use</c:v>
                </c:pt>
                <c:pt idx="10">
                  <c:v>Community engagement</c:v>
                </c:pt>
                <c:pt idx="12">
                  <c:v>Community pride</c:v>
                </c:pt>
                <c:pt idx="14">
                  <c:v>Crime</c:v>
                </c:pt>
                <c:pt idx="16">
                  <c:v>Cultural respect</c:v>
                </c:pt>
                <c:pt idx="18">
                  <c:v>Educational attainment</c:v>
                </c:pt>
                <c:pt idx="20">
                  <c:v>Housing affordability</c:v>
                </c:pt>
                <c:pt idx="22">
                  <c:v>Income inequality</c:v>
                </c:pt>
                <c:pt idx="24">
                  <c:v>Life expectancy</c:v>
                </c:pt>
                <c:pt idx="26">
                  <c:v>Life satisfaction</c:v>
                </c:pt>
                <c:pt idx="28">
                  <c:v>Perceived health</c:v>
                </c:pt>
                <c:pt idx="30">
                  <c:v>Perceptions of safety</c:v>
                </c:pt>
                <c:pt idx="32">
                  <c:v>Physical activity</c:v>
                </c:pt>
                <c:pt idx="34">
                  <c:v>Public transport</c:v>
                </c:pt>
                <c:pt idx="36">
                  <c:v>Road safety</c:v>
                </c:pt>
                <c:pt idx="38">
                  <c:v>Social connectedness</c:v>
                </c:pt>
                <c:pt idx="40">
                  <c:v>Te Reo Māori speakers</c:v>
                </c:pt>
                <c:pt idx="42">
                  <c:v>Voter turnout</c:v>
                </c:pt>
                <c:pt idx="44">
                  <c:v>Air quality</c:v>
                </c:pt>
                <c:pt idx="46">
                  <c:v>Coastal ecosystem health</c:v>
                </c:pt>
                <c:pt idx="48">
                  <c:v>Environmental attitudes</c:v>
                </c:pt>
                <c:pt idx="50">
                  <c:v>Greenhouse gases</c:v>
                </c:pt>
                <c:pt idx="52">
                  <c:v>Indigenous vegetation</c:v>
                </c:pt>
                <c:pt idx="54">
                  <c:v>Recycling</c:v>
                </c:pt>
                <c:pt idx="56">
                  <c:v>Residential expansion</c:v>
                </c:pt>
                <c:pt idx="58">
                  <c:v>River water quality</c:v>
                </c:pt>
                <c:pt idx="60">
                  <c:v>Soil quality</c:v>
                </c:pt>
                <c:pt idx="62">
                  <c:v>Waste</c:v>
                </c:pt>
              </c:strCache>
            </c:strRef>
          </c:cat>
          <c:val>
            <c:numRef>
              <c:f>'WPI Progress Circle short-term'!$W$13:$W$76</c:f>
              <c:numCache>
                <c:formatCode>General</c:formatCode>
                <c:ptCount val="64"/>
                <c:pt idx="0" formatCode="0.000">
                  <c:v>0.94491592150688986</c:v>
                </c:pt>
                <c:pt idx="1">
                  <c:v>0</c:v>
                </c:pt>
                <c:pt idx="2" formatCode="0.000">
                  <c:v>0.94857142857142873</c:v>
                </c:pt>
                <c:pt idx="3">
                  <c:v>0</c:v>
                </c:pt>
                <c:pt idx="4" formatCode="0.000">
                  <c:v>1.0238948577129461</c:v>
                </c:pt>
                <c:pt idx="5">
                  <c:v>0</c:v>
                </c:pt>
                <c:pt idx="6" formatCode="0.000">
                  <c:v>1.0768018385027678</c:v>
                </c:pt>
                <c:pt idx="7">
                  <c:v>0</c:v>
                </c:pt>
                <c:pt idx="8" formatCode="0.000">
                  <c:v>0.93747744845763048</c:v>
                </c:pt>
                <c:pt idx="9">
                  <c:v>0</c:v>
                </c:pt>
                <c:pt idx="10" formatCode="0.000">
                  <c:v>0.86111111111111116</c:v>
                </c:pt>
                <c:pt idx="11">
                  <c:v>0</c:v>
                </c:pt>
                <c:pt idx="12" formatCode="0.000">
                  <c:v>1.032258064516129</c:v>
                </c:pt>
                <c:pt idx="13">
                  <c:v>0</c:v>
                </c:pt>
                <c:pt idx="14" formatCode="0.000">
                  <c:v>0.56384977141234671</c:v>
                </c:pt>
                <c:pt idx="15">
                  <c:v>0</c:v>
                </c:pt>
                <c:pt idx="16" formatCode="0.000">
                  <c:v>0.95121951219512202</c:v>
                </c:pt>
                <c:pt idx="17">
                  <c:v>0</c:v>
                </c:pt>
                <c:pt idx="18" formatCode="0.000">
                  <c:v>0.91276864728192164</c:v>
                </c:pt>
                <c:pt idx="19">
                  <c:v>0</c:v>
                </c:pt>
                <c:pt idx="20" formatCode="0.000">
                  <c:v>0.89603960396039595</c:v>
                </c:pt>
                <c:pt idx="21">
                  <c:v>0</c:v>
                </c:pt>
                <c:pt idx="22" formatCode="0.000">
                  <c:v>1.0097959497193452</c:v>
                </c:pt>
                <c:pt idx="23">
                  <c:v>0</c:v>
                </c:pt>
                <c:pt idx="24" formatCode="0.000">
                  <c:v>1</c:v>
                </c:pt>
                <c:pt idx="25">
                  <c:v>0</c:v>
                </c:pt>
                <c:pt idx="26" formatCode="0.000">
                  <c:v>0.9885057471264368</c:v>
                </c:pt>
                <c:pt idx="27">
                  <c:v>0</c:v>
                </c:pt>
                <c:pt idx="28" formatCode="0.000">
                  <c:v>1.0126582278481013</c:v>
                </c:pt>
                <c:pt idx="29">
                  <c:v>0</c:v>
                </c:pt>
                <c:pt idx="30" formatCode="0.000">
                  <c:v>0.984375</c:v>
                </c:pt>
                <c:pt idx="31">
                  <c:v>0</c:v>
                </c:pt>
                <c:pt idx="32" formatCode="0.000">
                  <c:v>1.0249999999999999</c:v>
                </c:pt>
                <c:pt idx="33">
                  <c:v>0</c:v>
                </c:pt>
                <c:pt idx="34" formatCode="0.000">
                  <c:v>0.76393244292427553</c:v>
                </c:pt>
                <c:pt idx="35">
                  <c:v>0</c:v>
                </c:pt>
                <c:pt idx="36" formatCode="0.000">
                  <c:v>1.0633718846015967</c:v>
                </c:pt>
                <c:pt idx="37">
                  <c:v>0</c:v>
                </c:pt>
                <c:pt idx="38" formatCode="0.000">
                  <c:v>0.91935483870967738</c:v>
                </c:pt>
                <c:pt idx="39">
                  <c:v>0</c:v>
                </c:pt>
                <c:pt idx="40" formatCode="0.000">
                  <c:v>1</c:v>
                </c:pt>
                <c:pt idx="41">
                  <c:v>0</c:v>
                </c:pt>
                <c:pt idx="42" formatCode="0.000">
                  <c:v>0.9148453016423671</c:v>
                </c:pt>
                <c:pt idx="43">
                  <c:v>0</c:v>
                </c:pt>
                <c:pt idx="44" formatCode="0.000">
                  <c:v>0.5</c:v>
                </c:pt>
                <c:pt idx="45">
                  <c:v>0</c:v>
                </c:pt>
                <c:pt idx="46" formatCode="0.000">
                  <c:v>0.97852289423364813</c:v>
                </c:pt>
                <c:pt idx="47">
                  <c:v>0</c:v>
                </c:pt>
                <c:pt idx="48" formatCode="0.000">
                  <c:v>0.95038167938931284</c:v>
                </c:pt>
                <c:pt idx="49">
                  <c:v>0</c:v>
                </c:pt>
                <c:pt idx="50" formatCode="0.000">
                  <c:v>1.0716434235712331</c:v>
                </c:pt>
                <c:pt idx="51">
                  <c:v>0</c:v>
                </c:pt>
                <c:pt idx="52" formatCode="0.000">
                  <c:v>1</c:v>
                </c:pt>
                <c:pt idx="53">
                  <c:v>0</c:v>
                </c:pt>
                <c:pt idx="54" formatCode="0.000">
                  <c:v>1</c:v>
                </c:pt>
                <c:pt idx="55">
                  <c:v>0</c:v>
                </c:pt>
                <c:pt idx="56" formatCode="0.000">
                  <c:v>0.98108702950721871</c:v>
                </c:pt>
                <c:pt idx="57">
                  <c:v>0</c:v>
                </c:pt>
                <c:pt idx="58" formatCode="0.000">
                  <c:v>1</c:v>
                </c:pt>
                <c:pt idx="59">
                  <c:v>0</c:v>
                </c:pt>
                <c:pt idx="60" formatCode="0.000">
                  <c:v>1.0255568800951718</c:v>
                </c:pt>
                <c:pt idx="61">
                  <c:v>0</c:v>
                </c:pt>
                <c:pt idx="62" formatCode="0.000">
                  <c:v>0.76506429520487984</c:v>
                </c:pt>
                <c:pt idx="63">
                  <c:v>0</c:v>
                </c:pt>
              </c:numCache>
            </c:numRef>
          </c:val>
          <c:extLst>
            <c:ext xmlns:c16="http://schemas.microsoft.com/office/drawing/2014/chart" uri="{C3380CC4-5D6E-409C-BE32-E72D297353CC}">
              <c16:uniqueId val="{00000045-530B-4288-A6A1-911202E94FFF}"/>
            </c:ext>
          </c:extLst>
        </c:ser>
        <c:dLbls>
          <c:showLegendKey val="0"/>
          <c:showVal val="0"/>
          <c:showCatName val="0"/>
          <c:showSerName val="0"/>
          <c:showPercent val="0"/>
          <c:showBubbleSize val="0"/>
        </c:dLbls>
        <c:axId val="513071232"/>
        <c:axId val="1"/>
      </c:radarChart>
      <c:catAx>
        <c:axId val="513071232"/>
        <c:scaling>
          <c:orientation val="minMax"/>
        </c:scaling>
        <c:delete val="0"/>
        <c:axPos val="b"/>
        <c:numFmt formatCode="General" sourceLinked="1"/>
        <c:majorTickMark val="out"/>
        <c:minorTickMark val="none"/>
        <c:tickLblPos val="nextTo"/>
        <c:txPr>
          <a:bodyPr rot="0" vert="horz"/>
          <a:lstStyle/>
          <a:p>
            <a:pPr>
              <a:defRPr/>
            </a:pPr>
            <a:endParaRPr lang="en-US"/>
          </a:p>
        </c:txPr>
        <c:crossAx val="1"/>
        <c:crosses val="autoZero"/>
        <c:auto val="0"/>
        <c:lblAlgn val="ctr"/>
        <c:lblOffset val="100"/>
        <c:noMultiLvlLbl val="0"/>
      </c:catAx>
      <c:valAx>
        <c:axId val="1"/>
        <c:scaling>
          <c:orientation val="minMax"/>
        </c:scaling>
        <c:delete val="1"/>
        <c:axPos val="l"/>
        <c:numFmt formatCode="0.00" sourceLinked="1"/>
        <c:majorTickMark val="out"/>
        <c:minorTickMark val="none"/>
        <c:tickLblPos val="nextTo"/>
        <c:crossAx val="513071232"/>
        <c:crosses val="autoZero"/>
        <c:crossBetween val="between"/>
      </c:valAx>
      <c:spPr>
        <a:noFill/>
        <a:ln w="25400">
          <a:noFill/>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57281553398058"/>
          <c:y val="5.8189655172413791E-2"/>
          <c:w val="0.75922330097087376"/>
          <c:h val="0.8010057471264368"/>
        </c:manualLayout>
      </c:layout>
      <c:barChart>
        <c:barDir val="col"/>
        <c:grouping val="clustered"/>
        <c:varyColors val="0"/>
        <c:ser>
          <c:idx val="0"/>
          <c:order val="0"/>
          <c:tx>
            <c:strRef>
              <c:f>'Physical activity'!$A$9</c:f>
              <c:strCache>
                <c:ptCount val="1"/>
                <c:pt idx="0">
                  <c:v>Frequency of doing physical activity in past week - Five or more days</c:v>
                </c:pt>
              </c:strCache>
            </c:strRef>
          </c:tx>
          <c:spPr>
            <a:solidFill>
              <a:srgbClr val="6B2E8F"/>
            </a:solidFill>
            <a:ln w="25400">
              <a:noFill/>
            </a:ln>
          </c:spPr>
          <c:invertIfNegative val="0"/>
          <c:cat>
            <c:numRef>
              <c:f>'Physical activity'!$B$8:$F$8</c:f>
              <c:numCache>
                <c:formatCode>General</c:formatCode>
                <c:ptCount val="5"/>
                <c:pt idx="0">
                  <c:v>2006</c:v>
                </c:pt>
                <c:pt idx="1">
                  <c:v>2016</c:v>
                </c:pt>
                <c:pt idx="2">
                  <c:v>2018</c:v>
                </c:pt>
                <c:pt idx="3">
                  <c:v>2020</c:v>
                </c:pt>
                <c:pt idx="4">
                  <c:v>2022</c:v>
                </c:pt>
              </c:numCache>
            </c:numRef>
          </c:cat>
          <c:val>
            <c:numRef>
              <c:f>'Physical activity'!$B$9:$F$9</c:f>
              <c:numCache>
                <c:formatCode>0</c:formatCode>
                <c:ptCount val="5"/>
                <c:pt idx="0">
                  <c:v>61</c:v>
                </c:pt>
                <c:pt idx="1">
                  <c:v>47</c:v>
                </c:pt>
                <c:pt idx="2">
                  <c:v>40</c:v>
                </c:pt>
                <c:pt idx="3">
                  <c:v>35</c:v>
                </c:pt>
                <c:pt idx="4">
                  <c:v>41</c:v>
                </c:pt>
              </c:numCache>
            </c:numRef>
          </c:val>
          <c:extLst>
            <c:ext xmlns:c16="http://schemas.microsoft.com/office/drawing/2014/chart" uri="{C3380CC4-5D6E-409C-BE32-E72D297353CC}">
              <c16:uniqueId val="{00000000-F8BC-4E08-84C7-6E02C80AA11B}"/>
            </c:ext>
          </c:extLst>
        </c:ser>
        <c:dLbls>
          <c:showLegendKey val="0"/>
          <c:showVal val="0"/>
          <c:showCatName val="0"/>
          <c:showSerName val="0"/>
          <c:showPercent val="0"/>
          <c:showBubbleSize val="0"/>
        </c:dLbls>
        <c:gapWidth val="60"/>
        <c:axId val="513036136"/>
        <c:axId val="1"/>
      </c:barChart>
      <c:catAx>
        <c:axId val="51303613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9130722102126995"/>
              <c:y val="0.920258620689655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99"/>
          <c:min val="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AU"/>
                  <a:t>Frequency of doing physical activity in past week - Five or more days</a:t>
                </a:r>
              </a:p>
            </c:rich>
          </c:tx>
          <c:layout>
            <c:manualLayout>
              <c:xMode val="edge"/>
              <c:yMode val="edge"/>
              <c:x val="2.1359229100629849E-2"/>
              <c:y val="0.10129310344827586"/>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36136"/>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74623596576757"/>
          <c:y val="5.7692428077482469E-2"/>
          <c:w val="0.77777898341236273"/>
          <c:h val="0.70797855396280596"/>
        </c:manualLayout>
      </c:layout>
      <c:barChart>
        <c:barDir val="col"/>
        <c:grouping val="clustered"/>
        <c:varyColors val="0"/>
        <c:ser>
          <c:idx val="0"/>
          <c:order val="0"/>
          <c:tx>
            <c:strRef>
              <c:f>'Public transport use'!$A$9</c:f>
              <c:strCache>
                <c:ptCount val="1"/>
                <c:pt idx="0">
                  <c:v>Public transport boardings per resident per annum</c:v>
                </c:pt>
              </c:strCache>
            </c:strRef>
          </c:tx>
          <c:spPr>
            <a:solidFill>
              <a:srgbClr val="6B2E8F"/>
            </a:solidFill>
            <a:ln w="25400">
              <a:noFill/>
            </a:ln>
          </c:spPr>
          <c:invertIfNegative val="0"/>
          <c:cat>
            <c:strRef>
              <c:f>'Public transport use'!$B$8:$X$8</c:f>
              <c:strCache>
                <c:ptCount val="23"/>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pt idx="21">
                  <c:v>2021/22</c:v>
                </c:pt>
                <c:pt idx="22">
                  <c:v>2022/23</c:v>
                </c:pt>
              </c:strCache>
            </c:strRef>
          </c:cat>
          <c:val>
            <c:numRef>
              <c:f>'Public transport use'!$B$9:$X$9</c:f>
              <c:numCache>
                <c:formatCode>0.0</c:formatCode>
                <c:ptCount val="23"/>
                <c:pt idx="0">
                  <c:v>4.1802388707926168</c:v>
                </c:pt>
                <c:pt idx="1">
                  <c:v>4.3385109801821109</c:v>
                </c:pt>
                <c:pt idx="2">
                  <c:v>4.4567510548523206</c:v>
                </c:pt>
                <c:pt idx="3">
                  <c:v>4.9154746423927174</c:v>
                </c:pt>
                <c:pt idx="4">
                  <c:v>5.0681759711860046</c:v>
                </c:pt>
                <c:pt idx="5">
                  <c:v>5.4933875890132251</c:v>
                </c:pt>
                <c:pt idx="6">
                  <c:v>7.2992700729926998</c:v>
                </c:pt>
                <c:pt idx="7">
                  <c:v>9.0886454183266938</c:v>
                </c:pt>
                <c:pt idx="8">
                  <c:v>11.116576487948842</c:v>
                </c:pt>
                <c:pt idx="9">
                  <c:v>10.960232783705139</c:v>
                </c:pt>
                <c:pt idx="10">
                  <c:v>10.397320872274143</c:v>
                </c:pt>
                <c:pt idx="11">
                  <c:v>10.596443653618032</c:v>
                </c:pt>
                <c:pt idx="12">
                  <c:v>10.181097503532737</c:v>
                </c:pt>
                <c:pt idx="13">
                  <c:v>10.108186864014799</c:v>
                </c:pt>
                <c:pt idx="14">
                  <c:v>9.8198620221669302</c:v>
                </c:pt>
                <c:pt idx="15">
                  <c:v>9.0226744699646648</c:v>
                </c:pt>
                <c:pt idx="16">
                  <c:v>8.5774580645161294</c:v>
                </c:pt>
                <c:pt idx="17">
                  <c:v>8.3837132043734215</c:v>
                </c:pt>
                <c:pt idx="18">
                  <c:v>8.2529483220094715</c:v>
                </c:pt>
                <c:pt idx="19">
                  <c:v>7.0799040191961611</c:v>
                </c:pt>
                <c:pt idx="20">
                  <c:v>6.4641725908372827</c:v>
                </c:pt>
                <c:pt idx="21">
                  <c:v>4.7322979056566838</c:v>
                </c:pt>
                <c:pt idx="22">
                  <c:v>6.4045905089934942</c:v>
                </c:pt>
              </c:numCache>
            </c:numRef>
          </c:val>
          <c:extLst>
            <c:ext xmlns:c16="http://schemas.microsoft.com/office/drawing/2014/chart" uri="{C3380CC4-5D6E-409C-BE32-E72D297353CC}">
              <c16:uniqueId val="{00000000-486D-405D-AC61-63D8D4911386}"/>
            </c:ext>
          </c:extLst>
        </c:ser>
        <c:dLbls>
          <c:showLegendKey val="0"/>
          <c:showVal val="0"/>
          <c:showCatName val="0"/>
          <c:showSerName val="0"/>
          <c:showPercent val="0"/>
          <c:showBubbleSize val="0"/>
        </c:dLbls>
        <c:gapWidth val="60"/>
        <c:axId val="513037776"/>
        <c:axId val="1"/>
      </c:barChart>
      <c:catAx>
        <c:axId val="513037776"/>
        <c:scaling>
          <c:orientation val="minMax"/>
        </c:scaling>
        <c:delete val="0"/>
        <c:axPos val="b"/>
        <c:title>
          <c:tx>
            <c:rich>
              <a:bodyPr/>
              <a:lstStyle/>
              <a:p>
                <a:pPr>
                  <a:defRPr sz="1125" b="0" i="0" u="none" strike="noStrike" baseline="0">
                    <a:solidFill>
                      <a:srgbClr val="000000"/>
                    </a:solidFill>
                    <a:latin typeface="Arial"/>
                    <a:ea typeface="Arial"/>
                    <a:cs typeface="Arial"/>
                  </a:defRPr>
                </a:pPr>
                <a:r>
                  <a:rPr lang="en-AU"/>
                  <a:t>Year</a:t>
                </a:r>
              </a:p>
            </c:rich>
          </c:tx>
          <c:layout>
            <c:manualLayout>
              <c:xMode val="edge"/>
              <c:yMode val="edge"/>
              <c:x val="0.49365162687997338"/>
              <c:y val="0.9038479484936177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12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025" b="0" i="0" u="none" strike="noStrike" baseline="0">
                    <a:solidFill>
                      <a:srgbClr val="000000"/>
                    </a:solidFill>
                    <a:latin typeface="Arial"/>
                    <a:ea typeface="Arial"/>
                    <a:cs typeface="Arial"/>
                  </a:defRPr>
                </a:pPr>
                <a:r>
                  <a:rPr lang="en-AU"/>
                  <a:t>Public transport use per person</a:t>
                </a:r>
              </a:p>
            </c:rich>
          </c:tx>
          <c:layout>
            <c:manualLayout>
              <c:xMode val="edge"/>
              <c:yMode val="edge"/>
              <c:x val="3.650793650793651E-2"/>
              <c:y val="0.17307737173878907"/>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25" b="0" i="0" u="none" strike="noStrike" baseline="0">
                <a:solidFill>
                  <a:srgbClr val="000000"/>
                </a:solidFill>
                <a:latin typeface="Arial"/>
                <a:ea typeface="Arial"/>
                <a:cs typeface="Arial"/>
              </a:defRPr>
            </a:pPr>
            <a:endParaRPr lang="en-US"/>
          </a:p>
        </c:txPr>
        <c:crossAx val="513037776"/>
        <c:crosses val="autoZero"/>
        <c:crossBetween val="between"/>
        <c:majorUnit val="4"/>
      </c:valAx>
      <c:spPr>
        <a:no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104162358469"/>
          <c:y val="6.0737527114967459E-2"/>
          <c:w val="0.75920732394716872"/>
          <c:h val="0.71872740419378167"/>
        </c:manualLayout>
      </c:layout>
      <c:barChart>
        <c:barDir val="col"/>
        <c:grouping val="clustered"/>
        <c:varyColors val="0"/>
        <c:ser>
          <c:idx val="0"/>
          <c:order val="0"/>
          <c:tx>
            <c:strRef>
              <c:f>'Road safety'!$A$9</c:f>
              <c:strCache>
                <c:ptCount val="1"/>
                <c:pt idx="0">
                  <c:v>Social cost of road injury crashes per person (June 2023 dollars) ($)</c:v>
                </c:pt>
              </c:strCache>
            </c:strRef>
          </c:tx>
          <c:spPr>
            <a:solidFill>
              <a:srgbClr val="6B2E8F"/>
            </a:solidFill>
            <a:ln w="25400">
              <a:noFill/>
            </a:ln>
          </c:spPr>
          <c:invertIfNegative val="0"/>
          <c:cat>
            <c:numRef>
              <c:f>'Road safety'!$B$8:$T$8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'Road safety'!$B$9:$T$9</c:f>
              <c:numCache>
                <c:formatCode>#,##0</c:formatCode>
                <c:ptCount val="19"/>
                <c:pt idx="0">
                  <c:v>7430.4291287386222</c:v>
                </c:pt>
                <c:pt idx="1">
                  <c:v>7723.1798302032412</c:v>
                </c:pt>
                <c:pt idx="2">
                  <c:v>7085.4526958290944</c:v>
                </c:pt>
                <c:pt idx="3">
                  <c:v>7933.5514724389632</c:v>
                </c:pt>
                <c:pt idx="4">
                  <c:v>7036.8525896414349</c:v>
                </c:pt>
                <c:pt idx="5">
                  <c:v>6278.8981800295132</c:v>
                </c:pt>
                <c:pt idx="6">
                  <c:v>5977.2065955383123</c:v>
                </c:pt>
                <c:pt idx="7">
                  <c:v>5621.8547807332861</c:v>
                </c:pt>
                <c:pt idx="8">
                  <c:v>5285.8837485172016</c:v>
                </c:pt>
                <c:pt idx="9">
                  <c:v>4373.5280263777668</c:v>
                </c:pt>
                <c:pt idx="10">
                  <c:v>4692.4144310823312</c:v>
                </c:pt>
                <c:pt idx="11">
                  <c:v>5591.4951368468664</c:v>
                </c:pt>
                <c:pt idx="12">
                  <c:v>5452.7385159010601</c:v>
                </c:pt>
                <c:pt idx="13">
                  <c:v>5752.6881720430101</c:v>
                </c:pt>
                <c:pt idx="14">
                  <c:v>5851.5559293523966</c:v>
                </c:pt>
                <c:pt idx="15">
                  <c:v>5606.341362981264</c:v>
                </c:pt>
                <c:pt idx="16">
                  <c:v>4955.0089982003601</c:v>
                </c:pt>
                <c:pt idx="17">
                  <c:v>4771.8332022029899</c:v>
                </c:pt>
                <c:pt idx="18">
                  <c:v>5480.7318022576874</c:v>
                </c:pt>
              </c:numCache>
            </c:numRef>
          </c:val>
          <c:extLst>
            <c:ext xmlns:c16="http://schemas.microsoft.com/office/drawing/2014/chart" uri="{C3380CC4-5D6E-409C-BE32-E72D297353CC}">
              <c16:uniqueId val="{00000000-9B92-465E-926E-CC21E33F2EB9}"/>
            </c:ext>
          </c:extLst>
        </c:ser>
        <c:dLbls>
          <c:showLegendKey val="0"/>
          <c:showVal val="0"/>
          <c:showCatName val="0"/>
          <c:showSerName val="0"/>
          <c:showPercent val="0"/>
          <c:showBubbleSize val="0"/>
        </c:dLbls>
        <c:gapWidth val="60"/>
        <c:axId val="656006920"/>
        <c:axId val="1"/>
      </c:barChart>
      <c:catAx>
        <c:axId val="65600692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9763957975508016"/>
              <c:y val="0.886478669558929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Social cost of fatal and injury crashes per person
(June 2023 dollars)</a:t>
                </a:r>
              </a:p>
            </c:rich>
          </c:tx>
          <c:layout>
            <c:manualLayout>
              <c:xMode val="edge"/>
              <c:yMode val="edge"/>
              <c:x val="1.2747875354107648E-2"/>
              <c:y val="0.1149674620390455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6006920"/>
        <c:crosses val="autoZero"/>
        <c:crossBetween val="between"/>
        <c:majorUnit val="100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70600774967665"/>
          <c:y val="5.8441681973928683E-2"/>
          <c:w val="0.76838304262322155"/>
          <c:h val="0.7683998591085206"/>
        </c:manualLayout>
      </c:layout>
      <c:barChart>
        <c:barDir val="col"/>
        <c:grouping val="clustered"/>
        <c:varyColors val="0"/>
        <c:ser>
          <c:idx val="0"/>
          <c:order val="0"/>
          <c:tx>
            <c:strRef>
              <c:f>'Social connectedness'!$A$10</c:f>
              <c:strCache>
                <c:ptCount val="1"/>
                <c:pt idx="0">
                  <c:v>Sense of community experienced - Agree or strongly agree</c:v>
                </c:pt>
              </c:strCache>
            </c:strRef>
          </c:tx>
          <c:spPr>
            <a:solidFill>
              <a:srgbClr val="6B2E8F"/>
            </a:solidFill>
            <a:ln w="25400">
              <a:noFill/>
            </a:ln>
          </c:spPr>
          <c:invertIfNegative val="0"/>
          <c:cat>
            <c:numRef>
              <c:f>'Social connectedness'!$B$9:$F$9</c:f>
              <c:numCache>
                <c:formatCode>General</c:formatCode>
                <c:ptCount val="5"/>
                <c:pt idx="0">
                  <c:v>2006</c:v>
                </c:pt>
                <c:pt idx="1">
                  <c:v>2016</c:v>
                </c:pt>
                <c:pt idx="2">
                  <c:v>2018</c:v>
                </c:pt>
                <c:pt idx="3">
                  <c:v>2020</c:v>
                </c:pt>
                <c:pt idx="4">
                  <c:v>2022</c:v>
                </c:pt>
              </c:numCache>
            </c:numRef>
          </c:cat>
          <c:val>
            <c:numRef>
              <c:f>'Social connectedness'!$B$10:$F$10</c:f>
              <c:numCache>
                <c:formatCode>0</c:formatCode>
                <c:ptCount val="5"/>
                <c:pt idx="0">
                  <c:v>63</c:v>
                </c:pt>
                <c:pt idx="1">
                  <c:v>65</c:v>
                </c:pt>
                <c:pt idx="2">
                  <c:v>62</c:v>
                </c:pt>
                <c:pt idx="3">
                  <c:v>56</c:v>
                </c:pt>
                <c:pt idx="4">
                  <c:v>57</c:v>
                </c:pt>
              </c:numCache>
            </c:numRef>
          </c:val>
          <c:extLst>
            <c:ext xmlns:c16="http://schemas.microsoft.com/office/drawing/2014/chart" uri="{C3380CC4-5D6E-409C-BE32-E72D297353CC}">
              <c16:uniqueId val="{00000000-ED6C-4922-89B6-B68A0C27E71E}"/>
            </c:ext>
          </c:extLst>
        </c:ser>
        <c:dLbls>
          <c:showLegendKey val="0"/>
          <c:showVal val="0"/>
          <c:showCatName val="0"/>
          <c:showSerName val="0"/>
          <c:showPercent val="0"/>
          <c:showBubbleSize val="0"/>
        </c:dLbls>
        <c:gapWidth val="60"/>
        <c:axId val="656018728"/>
        <c:axId val="1"/>
      </c:barChart>
      <c:catAx>
        <c:axId val="656018728"/>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8646690975708567"/>
              <c:y val="0.902599220551976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Sense of community experienced - Agree or strongly agree</a:t>
                </a:r>
              </a:p>
            </c:rich>
          </c:tx>
          <c:layout>
            <c:manualLayout>
              <c:xMode val="edge"/>
              <c:yMode val="edge"/>
              <c:x val="2.4058376931071532E-2"/>
              <c:y val="0.10489212598425197"/>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656018728"/>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4816628132074"/>
          <c:y val="6.0737527114967459E-2"/>
          <c:w val="0.8031167027575461"/>
          <c:h val="0.79681851048445407"/>
        </c:manualLayout>
      </c:layout>
      <c:barChart>
        <c:barDir val="col"/>
        <c:grouping val="clustered"/>
        <c:varyColors val="0"/>
        <c:ser>
          <c:idx val="0"/>
          <c:order val="0"/>
          <c:tx>
            <c:strRef>
              <c:f>'Te Reo Māori speakers'!$A$9</c:f>
              <c:strCache>
                <c:ptCount val="1"/>
                <c:pt idx="0">
                  <c:v>Percent of Māori language speakers in the total population</c:v>
                </c:pt>
              </c:strCache>
            </c:strRef>
          </c:tx>
          <c:spPr>
            <a:solidFill>
              <a:srgbClr val="6B2E8F"/>
            </a:solidFill>
            <a:ln w="25400">
              <a:noFill/>
            </a:ln>
          </c:spPr>
          <c:invertIfNegative val="0"/>
          <c:cat>
            <c:numRef>
              <c:f>'Te Reo Māori speakers'!$B$8:$F$8</c:f>
              <c:numCache>
                <c:formatCode>General</c:formatCode>
                <c:ptCount val="5"/>
                <c:pt idx="0">
                  <c:v>1996</c:v>
                </c:pt>
                <c:pt idx="1">
                  <c:v>2001</c:v>
                </c:pt>
                <c:pt idx="2">
                  <c:v>2006</c:v>
                </c:pt>
                <c:pt idx="3">
                  <c:v>2013</c:v>
                </c:pt>
                <c:pt idx="4">
                  <c:v>2018</c:v>
                </c:pt>
              </c:numCache>
            </c:numRef>
          </c:cat>
          <c:val>
            <c:numRef>
              <c:f>'Te Reo Māori speakers'!$B$9:$F$9</c:f>
              <c:numCache>
                <c:formatCode>0.0</c:formatCode>
                <c:ptCount val="5"/>
                <c:pt idx="0">
                  <c:v>6.2926277547383194</c:v>
                </c:pt>
                <c:pt idx="1">
                  <c:v>6.3873314138505801</c:v>
                </c:pt>
                <c:pt idx="2">
                  <c:v>5.8097856484508599</c:v>
                </c:pt>
                <c:pt idx="3">
                  <c:v>5.2784528826358104</c:v>
                </c:pt>
                <c:pt idx="4">
                  <c:v>5.9</c:v>
                </c:pt>
              </c:numCache>
            </c:numRef>
          </c:val>
          <c:extLst>
            <c:ext xmlns:c16="http://schemas.microsoft.com/office/drawing/2014/chart" uri="{C3380CC4-5D6E-409C-BE32-E72D297353CC}">
              <c16:uniqueId val="{00000000-2801-4874-9C15-B46B7320300B}"/>
            </c:ext>
          </c:extLst>
        </c:ser>
        <c:dLbls>
          <c:showLegendKey val="0"/>
          <c:showVal val="0"/>
          <c:showCatName val="0"/>
          <c:showSerName val="0"/>
          <c:showPercent val="0"/>
          <c:showBubbleSize val="0"/>
        </c:dLbls>
        <c:gapWidth val="60"/>
        <c:axId val="656036440"/>
        <c:axId val="1"/>
      </c:barChart>
      <c:catAx>
        <c:axId val="656036440"/>
        <c:scaling>
          <c:orientation val="minMax"/>
        </c:scaling>
        <c:delete val="0"/>
        <c:axPos val="b"/>
        <c:title>
          <c:tx>
            <c:rich>
              <a:bodyPr/>
              <a:lstStyle/>
              <a:p>
                <a:pPr>
                  <a:defRPr/>
                </a:pPr>
                <a:r>
                  <a:rPr lang="en-AU"/>
                  <a:t>Year</a:t>
                </a:r>
              </a:p>
            </c:rich>
          </c:tx>
          <c:layout>
            <c:manualLayout>
              <c:xMode val="edge"/>
              <c:yMode val="edge"/>
              <c:x val="0.48819670912240787"/>
              <c:y val="0.932754880694143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
        <c:crosses val="autoZero"/>
        <c:auto val="1"/>
        <c:lblAlgn val="ctr"/>
        <c:lblOffset val="100"/>
        <c:tickLblSkip val="1"/>
        <c:tickMarkSkip val="1"/>
        <c:noMultiLvlLbl val="0"/>
      </c:catAx>
      <c:valAx>
        <c:axId val="1"/>
        <c:scaling>
          <c:orientation val="minMax"/>
          <c:max val="8"/>
          <c:min val="0"/>
        </c:scaling>
        <c:delete val="0"/>
        <c:axPos val="l"/>
        <c:majorGridlines>
          <c:spPr>
            <a:ln w="3175">
              <a:solidFill>
                <a:srgbClr val="000000"/>
              </a:solidFill>
              <a:prstDash val="solid"/>
            </a:ln>
          </c:spPr>
        </c:majorGridlines>
        <c:title>
          <c:tx>
            <c:rich>
              <a:bodyPr/>
              <a:lstStyle/>
              <a:p>
                <a:pPr>
                  <a:defRPr/>
                </a:pPr>
                <a:r>
                  <a:rPr lang="en-AU"/>
                  <a:t>Percentage of Māori language speakers in the
total population</a:t>
                </a:r>
              </a:p>
            </c:rich>
          </c:tx>
          <c:layout>
            <c:manualLayout>
              <c:xMode val="edge"/>
              <c:yMode val="edge"/>
              <c:x val="1.2747875354107648E-2"/>
              <c:y val="8.8937093275488072E-2"/>
            </c:manualLayout>
          </c:layout>
          <c:overlay val="0"/>
          <c:spPr>
            <a:noFill/>
            <a:ln w="25400">
              <a:noFill/>
            </a:ln>
          </c:spPr>
        </c:title>
        <c:numFmt formatCode="#,##0" sourceLinked="0"/>
        <c:majorTickMark val="out"/>
        <c:minorTickMark val="none"/>
        <c:tickLblPos val="nextTo"/>
        <c:spPr>
          <a:ln w="9525">
            <a:noFill/>
          </a:ln>
        </c:spPr>
        <c:txPr>
          <a:bodyPr rot="0" vert="horz"/>
          <a:lstStyle/>
          <a:p>
            <a:pPr>
              <a:defRPr/>
            </a:pPr>
            <a:endParaRPr lang="en-US"/>
          </a:p>
        </c:txPr>
        <c:crossAx val="656036440"/>
        <c:crosses val="autoZero"/>
        <c:crossBetween val="between"/>
        <c:majorUnit val="2"/>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05516265912306"/>
          <c:y val="6.0606188713703824E-2"/>
          <c:w val="0.7892503536067893"/>
          <c:h val="0.83418766892056706"/>
        </c:manualLayout>
      </c:layout>
      <c:barChart>
        <c:barDir val="col"/>
        <c:grouping val="clustered"/>
        <c:varyColors val="0"/>
        <c:ser>
          <c:idx val="0"/>
          <c:order val="0"/>
          <c:tx>
            <c:strRef>
              <c:f>'Voter turnout'!$A$9</c:f>
              <c:strCache>
                <c:ptCount val="1"/>
                <c:pt idx="0">
                  <c:v>Average voter turnout in local and regional council elections (%)</c:v>
                </c:pt>
              </c:strCache>
            </c:strRef>
          </c:tx>
          <c:spPr>
            <a:solidFill>
              <a:srgbClr val="6B2E8F"/>
            </a:solidFill>
            <a:ln w="25400">
              <a:noFill/>
            </a:ln>
          </c:spPr>
          <c:invertIfNegative val="0"/>
          <c:cat>
            <c:numRef>
              <c:f>'Voter turnout'!$B$8:$G$8</c:f>
              <c:numCache>
                <c:formatCode>General</c:formatCode>
                <c:ptCount val="6"/>
                <c:pt idx="0">
                  <c:v>2007</c:v>
                </c:pt>
                <c:pt idx="1">
                  <c:v>2010</c:v>
                </c:pt>
                <c:pt idx="2">
                  <c:v>2013</c:v>
                </c:pt>
                <c:pt idx="3">
                  <c:v>2016</c:v>
                </c:pt>
                <c:pt idx="4">
                  <c:v>2019</c:v>
                </c:pt>
                <c:pt idx="5">
                  <c:v>2022</c:v>
                </c:pt>
              </c:numCache>
            </c:numRef>
          </c:cat>
          <c:val>
            <c:numRef>
              <c:f>'Voter turnout'!$B$9:$G$9</c:f>
              <c:numCache>
                <c:formatCode>0.0</c:formatCode>
                <c:ptCount val="6"/>
                <c:pt idx="0">
                  <c:v>38.609599886010614</c:v>
                </c:pt>
                <c:pt idx="1">
                  <c:v>42.182257232939804</c:v>
                </c:pt>
                <c:pt idx="2">
                  <c:v>39.991982762325776</c:v>
                </c:pt>
                <c:pt idx="3">
                  <c:v>37.707354268702609</c:v>
                </c:pt>
                <c:pt idx="4">
                  <c:v>43.482147652002553</c:v>
                </c:pt>
                <c:pt idx="5">
                  <c:v>38.018424286531761</c:v>
                </c:pt>
              </c:numCache>
            </c:numRef>
          </c:val>
          <c:extLst>
            <c:ext xmlns:c16="http://schemas.microsoft.com/office/drawing/2014/chart" uri="{C3380CC4-5D6E-409C-BE32-E72D297353CC}">
              <c16:uniqueId val="{00000000-3E02-4250-89BA-921AEAB24F8C}"/>
            </c:ext>
          </c:extLst>
        </c:ser>
        <c:dLbls>
          <c:showLegendKey val="0"/>
          <c:showVal val="0"/>
          <c:showCatName val="0"/>
          <c:showSerName val="0"/>
          <c:showPercent val="0"/>
          <c:showBubbleSize val="0"/>
        </c:dLbls>
        <c:gapWidth val="60"/>
        <c:axId val="650510464"/>
        <c:axId val="1"/>
      </c:barChart>
      <c:catAx>
        <c:axId val="650510464"/>
        <c:scaling>
          <c:orientation val="minMax"/>
        </c:scaling>
        <c:delete val="0"/>
        <c:axPos val="b"/>
        <c:title>
          <c:tx>
            <c:rich>
              <a:bodyPr/>
              <a:lstStyle/>
              <a:p>
                <a:pPr>
                  <a:defRPr/>
                </a:pPr>
                <a:r>
                  <a:rPr lang="en-AU"/>
                  <a:t>Year</a:t>
                </a:r>
              </a:p>
            </c:rich>
          </c:tx>
          <c:layout>
            <c:manualLayout>
              <c:xMode val="edge"/>
              <c:yMode val="edge"/>
              <c:x val="0.48414624847871668"/>
              <c:y val="0.94049803000137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
        <c:crosses val="autoZero"/>
        <c:auto val="1"/>
        <c:lblAlgn val="ctr"/>
        <c:lblOffset val="100"/>
        <c:tickLblSkip val="1"/>
        <c:tickMarkSkip val="1"/>
        <c:noMultiLvlLbl val="0"/>
      </c:catAx>
      <c:valAx>
        <c:axId val="1"/>
        <c:scaling>
          <c:orientation val="minMax"/>
          <c:max val="60"/>
          <c:min val="0"/>
        </c:scaling>
        <c:delete val="0"/>
        <c:axPos val="l"/>
        <c:majorGridlines>
          <c:spPr>
            <a:ln w="3175">
              <a:solidFill>
                <a:srgbClr val="000000"/>
              </a:solidFill>
              <a:prstDash val="solid"/>
            </a:ln>
          </c:spPr>
        </c:majorGridlines>
        <c:title>
          <c:tx>
            <c:rich>
              <a:bodyPr/>
              <a:lstStyle/>
              <a:p>
                <a:pPr>
                  <a:defRPr/>
                </a:pPr>
                <a:r>
                  <a:rPr lang="en-AU"/>
                  <a:t>Average voter turnout (%)</a:t>
                </a:r>
              </a:p>
            </c:rich>
          </c:tx>
          <c:layout>
            <c:manualLayout>
              <c:xMode val="edge"/>
              <c:yMode val="edge"/>
              <c:x val="3.9603953137142774E-2"/>
              <c:y val="0.29004382424862041"/>
            </c:manualLayout>
          </c:layout>
          <c:overlay val="0"/>
          <c:spPr>
            <a:noFill/>
            <a:ln w="25400">
              <a:noFill/>
            </a:ln>
          </c:spPr>
        </c:title>
        <c:numFmt formatCode="#,##0" sourceLinked="0"/>
        <c:majorTickMark val="out"/>
        <c:minorTickMark val="none"/>
        <c:tickLblPos val="nextTo"/>
        <c:spPr>
          <a:ln w="9525">
            <a:noFill/>
          </a:ln>
        </c:spPr>
        <c:txPr>
          <a:bodyPr rot="0" vert="horz"/>
          <a:lstStyle/>
          <a:p>
            <a:pPr>
              <a:defRPr/>
            </a:pPr>
            <a:endParaRPr lang="en-US"/>
          </a:p>
        </c:txPr>
        <c:crossAx val="650510464"/>
        <c:crosses val="autoZero"/>
        <c:crossBetween val="between"/>
        <c:majorUnit val="15"/>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83464566929134"/>
          <c:y val="5.7082452431289642E-2"/>
          <c:w val="0.78740157480314965"/>
          <c:h val="0.81324876673713886"/>
        </c:manualLayout>
      </c:layout>
      <c:barChart>
        <c:barDir val="col"/>
        <c:grouping val="clustered"/>
        <c:varyColors val="0"/>
        <c:ser>
          <c:idx val="0"/>
          <c:order val="0"/>
          <c:tx>
            <c:strRef>
              <c:f>'Air quality'!$A$9</c:f>
              <c:strCache>
                <c:ptCount val="1"/>
                <c:pt idx="0">
                  <c:v>Air quality exceedances</c:v>
                </c:pt>
              </c:strCache>
            </c:strRef>
          </c:tx>
          <c:spPr>
            <a:solidFill>
              <a:srgbClr val="FF8233"/>
            </a:solidFill>
            <a:ln w="25400">
              <a:noFill/>
            </a:ln>
          </c:spPr>
          <c:invertIfNegative val="0"/>
          <c:dPt>
            <c:idx val="17"/>
            <c:invertIfNegative val="0"/>
            <c:bubble3D val="0"/>
            <c:spPr>
              <a:solidFill>
                <a:schemeClr val="bg2">
                  <a:lumMod val="75000"/>
                </a:schemeClr>
              </a:solidFill>
              <a:ln w="25400">
                <a:noFill/>
              </a:ln>
            </c:spPr>
            <c:extLst>
              <c:ext xmlns:c16="http://schemas.microsoft.com/office/drawing/2014/chart" uri="{C3380CC4-5D6E-409C-BE32-E72D297353CC}">
                <c16:uniqueId val="{00000000-1B38-441A-97B6-2DDD9F7DF5DA}"/>
              </c:ext>
            </c:extLst>
          </c:dPt>
          <c:dPt>
            <c:idx val="18"/>
            <c:invertIfNegative val="0"/>
            <c:bubble3D val="0"/>
            <c:spPr>
              <a:solidFill>
                <a:srgbClr val="C4BD97"/>
              </a:solidFill>
              <a:ln w="25400">
                <a:noFill/>
              </a:ln>
            </c:spPr>
            <c:extLst>
              <c:ext xmlns:c16="http://schemas.microsoft.com/office/drawing/2014/chart" uri="{C3380CC4-5D6E-409C-BE32-E72D297353CC}">
                <c16:uniqueId val="{00000001-1B38-441A-97B6-2DDD9F7DF5DA}"/>
              </c:ext>
            </c:extLst>
          </c:dPt>
          <c:dPt>
            <c:idx val="19"/>
            <c:invertIfNegative val="0"/>
            <c:bubble3D val="0"/>
            <c:spPr>
              <a:solidFill>
                <a:srgbClr val="C4BD97"/>
              </a:solidFill>
              <a:ln w="25400">
                <a:noFill/>
              </a:ln>
            </c:spPr>
            <c:extLst>
              <c:ext xmlns:c16="http://schemas.microsoft.com/office/drawing/2014/chart" uri="{C3380CC4-5D6E-409C-BE32-E72D297353CC}">
                <c16:uniqueId val="{00000004-383E-4B24-82DE-8B30082A3471}"/>
              </c:ext>
            </c:extLst>
          </c:dPt>
          <c:dPt>
            <c:idx val="20"/>
            <c:invertIfNegative val="0"/>
            <c:bubble3D val="0"/>
            <c:spPr>
              <a:solidFill>
                <a:srgbClr val="C4BD97"/>
              </a:solidFill>
              <a:ln w="25400">
                <a:noFill/>
              </a:ln>
            </c:spPr>
            <c:extLst>
              <c:ext xmlns:c16="http://schemas.microsoft.com/office/drawing/2014/chart" uri="{C3380CC4-5D6E-409C-BE32-E72D297353CC}">
                <c16:uniqueId val="{00000006-D40C-4BDF-9B43-3EB104435342}"/>
              </c:ext>
            </c:extLst>
          </c:dPt>
          <c:cat>
            <c:numRef>
              <c:f>'Air quality'!$B$8:$V$8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'Air quality'!$B$9:$V$9</c:f>
              <c:numCache>
                <c:formatCode>General</c:formatCode>
                <c:ptCount val="21"/>
                <c:pt idx="0">
                  <c:v>27</c:v>
                </c:pt>
                <c:pt idx="1">
                  <c:v>50</c:v>
                </c:pt>
                <c:pt idx="2">
                  <c:v>38</c:v>
                </c:pt>
                <c:pt idx="3">
                  <c:v>47</c:v>
                </c:pt>
                <c:pt idx="4">
                  <c:v>20</c:v>
                </c:pt>
                <c:pt idx="5">
                  <c:v>28</c:v>
                </c:pt>
                <c:pt idx="6">
                  <c:v>38</c:v>
                </c:pt>
                <c:pt idx="7">
                  <c:v>22</c:v>
                </c:pt>
                <c:pt idx="8">
                  <c:v>20</c:v>
                </c:pt>
                <c:pt idx="9">
                  <c:v>17</c:v>
                </c:pt>
                <c:pt idx="10">
                  <c:v>12</c:v>
                </c:pt>
                <c:pt idx="11">
                  <c:v>11</c:v>
                </c:pt>
                <c:pt idx="12">
                  <c:v>10</c:v>
                </c:pt>
                <c:pt idx="13">
                  <c:v>5</c:v>
                </c:pt>
                <c:pt idx="14">
                  <c:v>12</c:v>
                </c:pt>
                <c:pt idx="15">
                  <c:v>2</c:v>
                </c:pt>
                <c:pt idx="16">
                  <c:v>5</c:v>
                </c:pt>
                <c:pt idx="17">
                  <c:v>13</c:v>
                </c:pt>
                <c:pt idx="18">
                  <c:v>39</c:v>
                </c:pt>
                <c:pt idx="19">
                  <c:v>15</c:v>
                </c:pt>
                <c:pt idx="20">
                  <c:v>18</c:v>
                </c:pt>
              </c:numCache>
            </c:numRef>
          </c:val>
          <c:extLst>
            <c:ext xmlns:c16="http://schemas.microsoft.com/office/drawing/2014/chart" uri="{C3380CC4-5D6E-409C-BE32-E72D297353CC}">
              <c16:uniqueId val="{00000000-2B19-4BA6-B3DC-D2433211045D}"/>
            </c:ext>
          </c:extLst>
        </c:ser>
        <c:dLbls>
          <c:showLegendKey val="0"/>
          <c:showVal val="0"/>
          <c:showCatName val="0"/>
          <c:showSerName val="0"/>
          <c:showPercent val="0"/>
          <c:showBubbleSize val="0"/>
        </c:dLbls>
        <c:gapWidth val="60"/>
        <c:axId val="653162256"/>
        <c:axId val="1"/>
      </c:barChart>
      <c:catAx>
        <c:axId val="65316225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8346456692913387"/>
              <c:y val="0.938689217758985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60"/>
          <c:min val="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AU"/>
                  <a:t>Air quality exceedances</a:t>
                </a:r>
              </a:p>
            </c:rich>
          </c:tx>
          <c:layout>
            <c:manualLayout>
              <c:xMode val="edge"/>
              <c:yMode val="edge"/>
              <c:x val="3.937007874015748E-2"/>
              <c:y val="0.27272727272727271"/>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3162256"/>
        <c:crossesAt val="1"/>
        <c:crossBetween val="between"/>
        <c:majorUnit val="15"/>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13385826771653"/>
          <c:y val="5.7142914085333708E-2"/>
          <c:w val="0.7811023622047244"/>
          <c:h val="0.79208809425137661"/>
        </c:manualLayout>
      </c:layout>
      <c:barChart>
        <c:barDir val="col"/>
        <c:grouping val="clustered"/>
        <c:varyColors val="0"/>
        <c:ser>
          <c:idx val="0"/>
          <c:order val="0"/>
          <c:tx>
            <c:strRef>
              <c:f>'Coastal habitats'!$A$10</c:f>
              <c:strCache>
                <c:ptCount val="1"/>
                <c:pt idx="0">
                  <c:v>Regional index (average of all sites)</c:v>
                </c:pt>
              </c:strCache>
            </c:strRef>
          </c:tx>
          <c:spPr>
            <a:solidFill>
              <a:srgbClr val="FF8233"/>
            </a:solidFill>
            <a:ln w="25400">
              <a:noFill/>
            </a:ln>
          </c:spPr>
          <c:invertIfNegative val="0"/>
          <c:cat>
            <c:numRef>
              <c:f>'Coastal habitats'!$B$9:$K$9</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'Coastal habitats'!$B$10:$K$10</c:f>
              <c:numCache>
                <c:formatCode>0.00</c:formatCode>
                <c:ptCount val="10"/>
                <c:pt idx="0">
                  <c:v>0.40307692307692311</c:v>
                </c:pt>
                <c:pt idx="1">
                  <c:v>0.38230769230769235</c:v>
                </c:pt>
                <c:pt idx="2">
                  <c:v>0.3792307692307692</c:v>
                </c:pt>
                <c:pt idx="3">
                  <c:v>0.38446153846153847</c:v>
                </c:pt>
                <c:pt idx="4">
                  <c:v>0.41219999999999996</c:v>
                </c:pt>
                <c:pt idx="5">
                  <c:v>0.39726666666666666</c:v>
                </c:pt>
                <c:pt idx="6">
                  <c:v>0.39433333333333331</c:v>
                </c:pt>
                <c:pt idx="7">
                  <c:v>0.3596428571428571</c:v>
                </c:pt>
                <c:pt idx="8">
                  <c:v>0.40404478780830483</c:v>
                </c:pt>
                <c:pt idx="9">
                  <c:v>0.38586419462613525</c:v>
                </c:pt>
              </c:numCache>
            </c:numRef>
          </c:val>
          <c:extLst>
            <c:ext xmlns:c16="http://schemas.microsoft.com/office/drawing/2014/chart" uri="{C3380CC4-5D6E-409C-BE32-E72D297353CC}">
              <c16:uniqueId val="{00000000-65BF-4BFB-978E-B1A1CDCC24E6}"/>
            </c:ext>
          </c:extLst>
        </c:ser>
        <c:dLbls>
          <c:showLegendKey val="0"/>
          <c:showVal val="0"/>
          <c:showCatName val="0"/>
          <c:showSerName val="0"/>
          <c:showPercent val="0"/>
          <c:showBubbleSize val="0"/>
        </c:dLbls>
        <c:gapWidth val="60"/>
        <c:axId val="653163240"/>
        <c:axId val="1"/>
      </c:barChart>
      <c:catAx>
        <c:axId val="653163240"/>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n-AU"/>
                  <a:t>Year</a:t>
                </a:r>
              </a:p>
            </c:rich>
          </c:tx>
          <c:layout>
            <c:manualLayout>
              <c:xMode val="edge"/>
              <c:yMode val="edge"/>
              <c:x val="0.48976377952755906"/>
              <c:y val="0.916733303073957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Average Traits Based Index (TBI) scores for monitored sites</a:t>
                </a:r>
              </a:p>
            </c:rich>
          </c:tx>
          <c:layout>
            <c:manualLayout>
              <c:xMode val="edge"/>
              <c:yMode val="edge"/>
              <c:x val="2.7040708418713182E-2"/>
              <c:y val="6.2406146600096038E-2"/>
            </c:manualLayout>
          </c:layout>
          <c:overlay val="0"/>
          <c:spPr>
            <a:noFill/>
            <a:ln w="25400">
              <a:noFill/>
            </a:ln>
          </c:spPr>
        </c:title>
        <c:numFmt formatCode="#,##0.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653163240"/>
        <c:crosses val="autoZero"/>
        <c:crossBetween val="between"/>
        <c:majorUnit val="0.1"/>
        <c:minorUnit val="0.1"/>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1772151898735"/>
          <c:y val="5.7446808510638298E-2"/>
          <c:w val="0.78639240506329111"/>
          <c:h val="0.79503546099290778"/>
        </c:manualLayout>
      </c:layout>
      <c:barChart>
        <c:barDir val="col"/>
        <c:grouping val="clustered"/>
        <c:varyColors val="0"/>
        <c:ser>
          <c:idx val="0"/>
          <c:order val="0"/>
          <c:tx>
            <c:strRef>
              <c:f>'Environmental attitudes'!$A$10</c:f>
              <c:strCache>
                <c:ptCount val="1"/>
                <c:pt idx="0">
                  <c:v>New Ecological Paradigm - Percentage pro- or mid-ecological</c:v>
                </c:pt>
              </c:strCache>
            </c:strRef>
          </c:tx>
          <c:spPr>
            <a:solidFill>
              <a:srgbClr val="FF8233"/>
            </a:solidFill>
            <a:ln w="25400">
              <a:noFill/>
            </a:ln>
          </c:spPr>
          <c:invertIfNegative val="0"/>
          <c:cat>
            <c:numRef>
              <c:f>'Environmental attitudes'!$B$9:$H$9</c:f>
              <c:numCache>
                <c:formatCode>General</c:formatCode>
                <c:ptCount val="7"/>
                <c:pt idx="0">
                  <c:v>2000</c:v>
                </c:pt>
                <c:pt idx="1">
                  <c:v>2004</c:v>
                </c:pt>
                <c:pt idx="2">
                  <c:v>2008</c:v>
                </c:pt>
                <c:pt idx="3">
                  <c:v>2013</c:v>
                </c:pt>
                <c:pt idx="4">
                  <c:v>2016</c:v>
                </c:pt>
                <c:pt idx="5">
                  <c:v>2019</c:v>
                </c:pt>
                <c:pt idx="6">
                  <c:v>2022</c:v>
                </c:pt>
              </c:numCache>
            </c:numRef>
          </c:cat>
          <c:val>
            <c:numRef>
              <c:f>'Environmental attitudes'!$B$10:$H$10</c:f>
              <c:numCache>
                <c:formatCode>0</c:formatCode>
                <c:ptCount val="7"/>
                <c:pt idx="0">
                  <c:v>90</c:v>
                </c:pt>
                <c:pt idx="1">
                  <c:v>77.22</c:v>
                </c:pt>
                <c:pt idx="2">
                  <c:v>85.5</c:v>
                </c:pt>
                <c:pt idx="3">
                  <c:v>88.999999999999986</c:v>
                </c:pt>
                <c:pt idx="4" formatCode="General">
                  <c:v>88</c:v>
                </c:pt>
                <c:pt idx="5" formatCode="General">
                  <c:v>87</c:v>
                </c:pt>
                <c:pt idx="6" formatCode="General">
                  <c:v>83</c:v>
                </c:pt>
              </c:numCache>
            </c:numRef>
          </c:val>
          <c:extLst>
            <c:ext xmlns:c16="http://schemas.microsoft.com/office/drawing/2014/chart" uri="{C3380CC4-5D6E-409C-BE32-E72D297353CC}">
              <c16:uniqueId val="{00000000-0176-48C8-AE07-61419FA16512}"/>
            </c:ext>
          </c:extLst>
        </c:ser>
        <c:dLbls>
          <c:showLegendKey val="0"/>
          <c:showVal val="0"/>
          <c:showCatName val="0"/>
          <c:showSerName val="0"/>
          <c:showPercent val="0"/>
          <c:showBubbleSize val="0"/>
        </c:dLbls>
        <c:gapWidth val="60"/>
        <c:axId val="513071888"/>
        <c:axId val="1"/>
      </c:barChart>
      <c:catAx>
        <c:axId val="513071888"/>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6782700421940926"/>
              <c:y val="0.938297872340425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New Ecological Paradigm - Percentage pro- or mid-ecological</a:t>
                </a:r>
              </a:p>
            </c:rich>
          </c:tx>
          <c:layout>
            <c:manualLayout>
              <c:xMode val="edge"/>
              <c:yMode val="edge"/>
              <c:x val="2.0569620253164556E-2"/>
              <c:y val="0.14462623662426813"/>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513071888"/>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1111046577555"/>
          <c:y val="5.696214267319083E-2"/>
          <c:w val="0.74359018610555649"/>
          <c:h val="0.6877650420279745"/>
        </c:manualLayout>
      </c:layout>
      <c:barChart>
        <c:barDir val="col"/>
        <c:grouping val="clustered"/>
        <c:varyColors val="0"/>
        <c:ser>
          <c:idx val="0"/>
          <c:order val="0"/>
          <c:tx>
            <c:strRef>
              <c:f>'Greenhouse gases'!$A$8</c:f>
              <c:strCache>
                <c:ptCount val="1"/>
                <c:pt idx="0">
                  <c:v>Million tonnes CO2 equivalent</c:v>
                </c:pt>
              </c:strCache>
            </c:strRef>
          </c:tx>
          <c:spPr>
            <a:solidFill>
              <a:srgbClr val="FF8233"/>
            </a:solidFill>
            <a:ln w="25400">
              <a:noFill/>
            </a:ln>
          </c:spPr>
          <c:invertIfNegative val="0"/>
          <c:cat>
            <c:numRef>
              <c:f>'Greenhouse gases'!$B$7:$Q$7</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'Greenhouse gases'!$B$8:$Q$8</c:f>
              <c:numCache>
                <c:formatCode>#,##0.0</c:formatCode>
                <c:ptCount val="16"/>
                <c:pt idx="0">
                  <c:v>15.055</c:v>
                </c:pt>
                <c:pt idx="1">
                  <c:v>16.707000000000001</c:v>
                </c:pt>
                <c:pt idx="2">
                  <c:v>15.42</c:v>
                </c:pt>
                <c:pt idx="3">
                  <c:v>14.483000000000001</c:v>
                </c:pt>
                <c:pt idx="4">
                  <c:v>14.622</c:v>
                </c:pt>
                <c:pt idx="5">
                  <c:v>15.836</c:v>
                </c:pt>
                <c:pt idx="6">
                  <c:v>14.875999999999999</c:v>
                </c:pt>
                <c:pt idx="7">
                  <c:v>14.73</c:v>
                </c:pt>
                <c:pt idx="8">
                  <c:v>14.496</c:v>
                </c:pt>
                <c:pt idx="9">
                  <c:v>14.172000000000001</c:v>
                </c:pt>
                <c:pt idx="10">
                  <c:v>14.324999999999999</c:v>
                </c:pt>
                <c:pt idx="11">
                  <c:v>14.628</c:v>
                </c:pt>
                <c:pt idx="12">
                  <c:v>15.613</c:v>
                </c:pt>
                <c:pt idx="13">
                  <c:v>15.446999999999999</c:v>
                </c:pt>
                <c:pt idx="14">
                  <c:v>15.65</c:v>
                </c:pt>
                <c:pt idx="15">
                  <c:v>13.58</c:v>
                </c:pt>
              </c:numCache>
            </c:numRef>
          </c:val>
          <c:extLst>
            <c:ext xmlns:c16="http://schemas.microsoft.com/office/drawing/2014/chart" uri="{C3380CC4-5D6E-409C-BE32-E72D297353CC}">
              <c16:uniqueId val="{00000000-4E87-4845-B238-9AC4702BF366}"/>
            </c:ext>
          </c:extLst>
        </c:ser>
        <c:dLbls>
          <c:showLegendKey val="0"/>
          <c:showVal val="0"/>
          <c:showCatName val="0"/>
          <c:showSerName val="0"/>
          <c:showPercent val="0"/>
          <c:showBubbleSize val="0"/>
        </c:dLbls>
        <c:gapWidth val="60"/>
        <c:axId val="513080416"/>
        <c:axId val="1"/>
      </c:barChart>
      <c:catAx>
        <c:axId val="513080416"/>
        <c:scaling>
          <c:orientation val="minMax"/>
        </c:scaling>
        <c:delete val="0"/>
        <c:axPos val="b"/>
        <c:title>
          <c:tx>
            <c:rich>
              <a:bodyPr/>
              <a:lstStyle/>
              <a:p>
                <a:pPr>
                  <a:defRPr/>
                </a:pPr>
                <a:r>
                  <a:rPr lang="en-AU"/>
                  <a:t>Year</a:t>
                </a:r>
              </a:p>
            </c:rich>
          </c:tx>
          <c:layout>
            <c:manualLayout>
              <c:xMode val="edge"/>
              <c:yMode val="edge"/>
              <c:x val="0.49877085701484364"/>
              <c:y val="0.9219427002004495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a:pPr>
            <a:endParaRPr lang="en-US"/>
          </a:p>
        </c:txPr>
        <c:crossAx val="1"/>
        <c:crosses val="autoZero"/>
        <c:auto val="1"/>
        <c:lblAlgn val="ctr"/>
        <c:lblOffset val="100"/>
        <c:tickLblSkip val="1"/>
        <c:tickMarkSkip val="1"/>
        <c:noMultiLvlLbl val="0"/>
      </c:catAx>
      <c:valAx>
        <c:axId val="1"/>
        <c:scaling>
          <c:orientation val="minMax"/>
          <c:max val="20"/>
          <c:min val="0"/>
        </c:scaling>
        <c:delete val="0"/>
        <c:axPos val="l"/>
        <c:majorGridlines>
          <c:spPr>
            <a:ln w="3175">
              <a:solidFill>
                <a:srgbClr val="000000"/>
              </a:solidFill>
              <a:prstDash val="solid"/>
            </a:ln>
          </c:spPr>
        </c:majorGridlines>
        <c:title>
          <c:tx>
            <c:rich>
              <a:bodyPr/>
              <a:lstStyle/>
              <a:p>
                <a:pPr>
                  <a:defRPr/>
                </a:pPr>
                <a:r>
                  <a:rPr lang="en-AU"/>
                  <a:t>Waikato region greenhouse gas emissions (million</a:t>
                </a:r>
                <a:r>
                  <a:rPr lang="en-AU" baseline="0"/>
                  <a:t> </a:t>
                </a:r>
                <a:r>
                  <a:rPr lang="en-AU"/>
                  <a:t>tonnes CO2-e)</a:t>
                </a:r>
              </a:p>
            </c:rich>
          </c:tx>
          <c:layout>
            <c:manualLayout>
              <c:xMode val="edge"/>
              <c:yMode val="edge"/>
              <c:x val="3.0558482613277135E-2"/>
              <c:y val="0.15400866030986632"/>
            </c:manualLayout>
          </c:layout>
          <c:overlay val="0"/>
          <c:spPr>
            <a:noFill/>
            <a:ln w="25400">
              <a:noFill/>
            </a:ln>
          </c:spPr>
        </c:title>
        <c:numFmt formatCode="#,##0" sourceLinked="0"/>
        <c:majorTickMark val="out"/>
        <c:minorTickMark val="none"/>
        <c:tickLblPos val="nextTo"/>
        <c:spPr>
          <a:ln w="9525">
            <a:noFill/>
          </a:ln>
        </c:spPr>
        <c:txPr>
          <a:bodyPr rot="0" vert="horz"/>
          <a:lstStyle/>
          <a:p>
            <a:pPr>
              <a:defRPr/>
            </a:pPr>
            <a:endParaRPr lang="en-US"/>
          </a:p>
        </c:txPr>
        <c:crossAx val="513080416"/>
        <c:crosses val="autoZero"/>
        <c:crossBetween val="between"/>
        <c:majorUnit val="5"/>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03583686654557"/>
          <c:y val="9.9362052883885388E-2"/>
          <c:w val="0.633669661484622"/>
          <c:h val="0.81696253877356229"/>
        </c:manualLayout>
      </c:layout>
      <c:radarChart>
        <c:radarStyle val="marker"/>
        <c:varyColors val="0"/>
        <c:ser>
          <c:idx val="0"/>
          <c:order val="0"/>
          <c:tx>
            <c:strRef>
              <c:f>'WPI Relative Wellbeing Circle'!$F$11</c:f>
              <c:strCache>
                <c:ptCount val="1"/>
                <c:pt idx="0">
                  <c:v>baseline</c:v>
                </c:pt>
              </c:strCache>
            </c:strRef>
          </c:tx>
          <c:spPr>
            <a:ln w="25400">
              <a:solidFill>
                <a:srgbClr val="000000"/>
              </a:solidFill>
              <a:prstDash val="solid"/>
            </a:ln>
          </c:spPr>
          <c:marker>
            <c:symbol val="none"/>
          </c:marker>
          <c:cat>
            <c:strRef>
              <c:f>'WPI Relative Wellbeing Circle'!$B$12:$B$47</c:f>
              <c:strCache>
                <c:ptCount val="36"/>
                <c:pt idx="1">
                  <c:v>Building activity</c:v>
                </c:pt>
                <c:pt idx="3">
                  <c:v>Employment</c:v>
                </c:pt>
                <c:pt idx="5">
                  <c:v>Income</c:v>
                </c:pt>
                <c:pt idx="7">
                  <c:v>Regional GDP</c:v>
                </c:pt>
                <c:pt idx="9">
                  <c:v>Community engagement</c:v>
                </c:pt>
                <c:pt idx="11">
                  <c:v>Community pride</c:v>
                </c:pt>
                <c:pt idx="13">
                  <c:v>Crime</c:v>
                </c:pt>
                <c:pt idx="15">
                  <c:v>Educational attainment</c:v>
                </c:pt>
                <c:pt idx="17">
                  <c:v>Housing affordability</c:v>
                </c:pt>
                <c:pt idx="19">
                  <c:v>Income inequality</c:v>
                </c:pt>
                <c:pt idx="21">
                  <c:v>Life expectancy</c:v>
                </c:pt>
                <c:pt idx="23">
                  <c:v>Life satisfaction</c:v>
                </c:pt>
                <c:pt idx="25">
                  <c:v>Physical activity</c:v>
                </c:pt>
                <c:pt idx="27">
                  <c:v>Road safety</c:v>
                </c:pt>
                <c:pt idx="29">
                  <c:v>Social connectedness</c:v>
                </c:pt>
                <c:pt idx="31">
                  <c:v>Te Reo Māori speakers</c:v>
                </c:pt>
                <c:pt idx="33">
                  <c:v>Voter turnout</c:v>
                </c:pt>
                <c:pt idx="35">
                  <c:v>Recycling</c:v>
                </c:pt>
              </c:strCache>
            </c:strRef>
          </c:cat>
          <c:val>
            <c:numRef>
              <c:f>'WPI Relative Wellbeing Circle'!$F$12:$F$47</c:f>
              <c:numCache>
                <c:formatCode>0.00</c:formatCode>
                <c:ptCount val="3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numCache>
            </c:numRef>
          </c:val>
          <c:extLst>
            <c:ext xmlns:c16="http://schemas.microsoft.com/office/drawing/2014/chart" uri="{C3380CC4-5D6E-409C-BE32-E72D297353CC}">
              <c16:uniqueId val="{00000000-E96F-4773-AEBA-13D809EEAE8F}"/>
            </c:ext>
          </c:extLst>
        </c:ser>
        <c:ser>
          <c:idx val="1"/>
          <c:order val="1"/>
          <c:tx>
            <c:strRef>
              <c:f>'WPI Relative Wellbeing Circle'!$C$11</c:f>
              <c:strCache>
                <c:ptCount val="1"/>
                <c:pt idx="0">
                  <c:v>Waikato</c:v>
                </c:pt>
              </c:strCache>
            </c:strRef>
          </c:tx>
          <c:spPr>
            <a:ln w="12700">
              <a:solidFill>
                <a:schemeClr val="tx1"/>
              </a:solidFill>
              <a:prstDash val="solid"/>
            </a:ln>
          </c:spPr>
          <c:marker>
            <c:symbol val="circle"/>
            <c:size val="7"/>
            <c:spPr>
              <a:solidFill>
                <a:srgbClr val="FF0000"/>
              </a:solidFill>
              <a:ln>
                <a:noFill/>
                <a:prstDash val="solid"/>
              </a:ln>
            </c:spPr>
          </c:marker>
          <c:dPt>
            <c:idx val="0"/>
            <c:marker>
              <c:spPr>
                <a:solidFill>
                  <a:schemeClr val="tx1"/>
                </a:solidFill>
                <a:ln>
                  <a:solidFill>
                    <a:schemeClr val="tx1"/>
                  </a:solidFill>
                  <a:prstDash val="solid"/>
                </a:ln>
              </c:spPr>
            </c:marker>
            <c:bubble3D val="0"/>
            <c:extLst>
              <c:ext xmlns:c16="http://schemas.microsoft.com/office/drawing/2014/chart" uri="{C3380CC4-5D6E-409C-BE32-E72D297353CC}">
                <c16:uniqueId val="{00000001-E96F-4773-AEBA-13D809EEAE8F}"/>
              </c:ext>
            </c:extLst>
          </c:dPt>
          <c:dPt>
            <c:idx val="1"/>
            <c:marker>
              <c:spPr>
                <a:solidFill>
                  <a:schemeClr val="bg2">
                    <a:lumMod val="50000"/>
                  </a:schemeClr>
                </a:solidFill>
                <a:ln>
                  <a:noFill/>
                  <a:prstDash val="solid"/>
                </a:ln>
              </c:spPr>
            </c:marker>
            <c:bubble3D val="0"/>
            <c:extLst>
              <c:ext xmlns:c16="http://schemas.microsoft.com/office/drawing/2014/chart" uri="{C3380CC4-5D6E-409C-BE32-E72D297353CC}">
                <c16:uniqueId val="{00000002-E96F-4773-AEBA-13D809EEAE8F}"/>
              </c:ext>
            </c:extLst>
          </c:dPt>
          <c:dPt>
            <c:idx val="3"/>
            <c:bubble3D val="0"/>
            <c:extLst>
              <c:ext xmlns:c16="http://schemas.microsoft.com/office/drawing/2014/chart" uri="{C3380CC4-5D6E-409C-BE32-E72D297353CC}">
                <c16:uniqueId val="{00000003-E96F-4773-AEBA-13D809EEAE8F}"/>
              </c:ext>
            </c:extLst>
          </c:dPt>
          <c:dPt>
            <c:idx val="5"/>
            <c:marker>
              <c:spPr>
                <a:solidFill>
                  <a:srgbClr val="FF0000"/>
                </a:solidFill>
                <a:ln>
                  <a:solidFill>
                    <a:schemeClr val="bg2">
                      <a:lumMod val="50000"/>
                    </a:schemeClr>
                  </a:solidFill>
                  <a:prstDash val="solid"/>
                </a:ln>
              </c:spPr>
            </c:marker>
            <c:bubble3D val="0"/>
            <c:extLst>
              <c:ext xmlns:c16="http://schemas.microsoft.com/office/drawing/2014/chart" uri="{C3380CC4-5D6E-409C-BE32-E72D297353CC}">
                <c16:uniqueId val="{00000004-E96F-4773-AEBA-13D809EEAE8F}"/>
              </c:ext>
            </c:extLst>
          </c:dPt>
          <c:dPt>
            <c:idx val="7"/>
            <c:bubble3D val="0"/>
            <c:extLst>
              <c:ext xmlns:c16="http://schemas.microsoft.com/office/drawing/2014/chart" uri="{C3380CC4-5D6E-409C-BE32-E72D297353CC}">
                <c16:uniqueId val="{00000005-E96F-4773-AEBA-13D809EEAE8F}"/>
              </c:ext>
            </c:extLst>
          </c:dPt>
          <c:dPt>
            <c:idx val="9"/>
            <c:marker>
              <c:spPr>
                <a:solidFill>
                  <a:srgbClr val="00B050"/>
                </a:solidFill>
                <a:ln>
                  <a:solidFill>
                    <a:srgbClr val="00B050"/>
                  </a:solidFill>
                  <a:prstDash val="solid"/>
                </a:ln>
              </c:spPr>
            </c:marker>
            <c:bubble3D val="0"/>
            <c:extLst>
              <c:ext xmlns:c16="http://schemas.microsoft.com/office/drawing/2014/chart" uri="{C3380CC4-5D6E-409C-BE32-E72D297353CC}">
                <c16:uniqueId val="{00000006-E96F-4773-AEBA-13D809EEAE8F}"/>
              </c:ext>
            </c:extLst>
          </c:dPt>
          <c:dPt>
            <c:idx val="11"/>
            <c:marker>
              <c:spPr>
                <a:solidFill>
                  <a:srgbClr val="00B050"/>
                </a:solidFill>
                <a:ln>
                  <a:solidFill>
                    <a:srgbClr val="00B050"/>
                  </a:solidFill>
                  <a:prstDash val="solid"/>
                </a:ln>
              </c:spPr>
            </c:marker>
            <c:bubble3D val="0"/>
            <c:extLst>
              <c:ext xmlns:c16="http://schemas.microsoft.com/office/drawing/2014/chart" uri="{C3380CC4-5D6E-409C-BE32-E72D297353CC}">
                <c16:uniqueId val="{00000007-E96F-4773-AEBA-13D809EEAE8F}"/>
              </c:ext>
            </c:extLst>
          </c:dPt>
          <c:dPt>
            <c:idx val="13"/>
            <c:marker>
              <c:spPr>
                <a:solidFill>
                  <a:srgbClr val="FF0000"/>
                </a:solidFill>
                <a:ln>
                  <a:solidFill>
                    <a:srgbClr val="FF0000"/>
                  </a:solidFill>
                  <a:prstDash val="solid"/>
                </a:ln>
              </c:spPr>
            </c:marker>
            <c:bubble3D val="0"/>
            <c:extLst>
              <c:ext xmlns:c16="http://schemas.microsoft.com/office/drawing/2014/chart" uri="{C3380CC4-5D6E-409C-BE32-E72D297353CC}">
                <c16:uniqueId val="{00000008-E96F-4773-AEBA-13D809EEAE8F}"/>
              </c:ext>
            </c:extLst>
          </c:dPt>
          <c:dPt>
            <c:idx val="15"/>
            <c:bubble3D val="0"/>
            <c:extLst>
              <c:ext xmlns:c16="http://schemas.microsoft.com/office/drawing/2014/chart" uri="{C3380CC4-5D6E-409C-BE32-E72D297353CC}">
                <c16:uniqueId val="{00000009-E96F-4773-AEBA-13D809EEAE8F}"/>
              </c:ext>
            </c:extLst>
          </c:dPt>
          <c:dPt>
            <c:idx val="17"/>
            <c:marker>
              <c:spPr>
                <a:solidFill>
                  <a:schemeClr val="bg2">
                    <a:lumMod val="50000"/>
                  </a:schemeClr>
                </a:solidFill>
                <a:ln>
                  <a:noFill/>
                  <a:prstDash val="solid"/>
                </a:ln>
              </c:spPr>
            </c:marker>
            <c:bubble3D val="0"/>
            <c:extLst>
              <c:ext xmlns:c16="http://schemas.microsoft.com/office/drawing/2014/chart" uri="{C3380CC4-5D6E-409C-BE32-E72D297353CC}">
                <c16:uniqueId val="{0000000A-E96F-4773-AEBA-13D809EEAE8F}"/>
              </c:ext>
            </c:extLst>
          </c:dPt>
          <c:dPt>
            <c:idx val="19"/>
            <c:marker>
              <c:spPr>
                <a:solidFill>
                  <a:schemeClr val="bg2">
                    <a:lumMod val="50000"/>
                  </a:schemeClr>
                </a:solidFill>
                <a:ln>
                  <a:noFill/>
                  <a:prstDash val="solid"/>
                </a:ln>
              </c:spPr>
            </c:marker>
            <c:bubble3D val="0"/>
            <c:extLst>
              <c:ext xmlns:c16="http://schemas.microsoft.com/office/drawing/2014/chart" uri="{C3380CC4-5D6E-409C-BE32-E72D297353CC}">
                <c16:uniqueId val="{0000000B-E96F-4773-AEBA-13D809EEAE8F}"/>
              </c:ext>
            </c:extLst>
          </c:dPt>
          <c:dPt>
            <c:idx val="21"/>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0C-E96F-4773-AEBA-13D809EEAE8F}"/>
              </c:ext>
            </c:extLst>
          </c:dPt>
          <c:dPt>
            <c:idx val="23"/>
            <c:marker>
              <c:spPr>
                <a:solidFill>
                  <a:srgbClr val="00B050"/>
                </a:solidFill>
                <a:ln>
                  <a:noFill/>
                  <a:prstDash val="solid"/>
                </a:ln>
              </c:spPr>
            </c:marker>
            <c:bubble3D val="0"/>
            <c:extLst>
              <c:ext xmlns:c16="http://schemas.microsoft.com/office/drawing/2014/chart" uri="{C3380CC4-5D6E-409C-BE32-E72D297353CC}">
                <c16:uniqueId val="{0000000D-E96F-4773-AEBA-13D809EEAE8F}"/>
              </c:ext>
            </c:extLst>
          </c:dPt>
          <c:dPt>
            <c:idx val="25"/>
            <c:marker>
              <c:spPr>
                <a:solidFill>
                  <a:srgbClr val="00B050"/>
                </a:solidFill>
                <a:ln>
                  <a:noFill/>
                  <a:prstDash val="solid"/>
                </a:ln>
              </c:spPr>
            </c:marker>
            <c:bubble3D val="0"/>
            <c:extLst>
              <c:ext xmlns:c16="http://schemas.microsoft.com/office/drawing/2014/chart" uri="{C3380CC4-5D6E-409C-BE32-E72D297353CC}">
                <c16:uniqueId val="{0000000E-E96F-4773-AEBA-13D809EEAE8F}"/>
              </c:ext>
            </c:extLst>
          </c:dPt>
          <c:dPt>
            <c:idx val="27"/>
            <c:bubble3D val="0"/>
            <c:extLst>
              <c:ext xmlns:c16="http://schemas.microsoft.com/office/drawing/2014/chart" uri="{C3380CC4-5D6E-409C-BE32-E72D297353CC}">
                <c16:uniqueId val="{0000000F-E96F-4773-AEBA-13D809EEAE8F}"/>
              </c:ext>
            </c:extLst>
          </c:dPt>
          <c:dPt>
            <c:idx val="29"/>
            <c:marker>
              <c:spPr>
                <a:solidFill>
                  <a:srgbClr val="00B050"/>
                </a:solidFill>
                <a:ln>
                  <a:noFill/>
                  <a:prstDash val="solid"/>
                </a:ln>
              </c:spPr>
            </c:marker>
            <c:bubble3D val="0"/>
            <c:extLst>
              <c:ext xmlns:c16="http://schemas.microsoft.com/office/drawing/2014/chart" uri="{C3380CC4-5D6E-409C-BE32-E72D297353CC}">
                <c16:uniqueId val="{00000010-E96F-4773-AEBA-13D809EEAE8F}"/>
              </c:ext>
            </c:extLst>
          </c:dPt>
          <c:dPt>
            <c:idx val="31"/>
            <c:marker>
              <c:spPr>
                <a:solidFill>
                  <a:srgbClr val="00B050"/>
                </a:solidFill>
                <a:ln>
                  <a:noFill/>
                  <a:prstDash val="solid"/>
                </a:ln>
              </c:spPr>
            </c:marker>
            <c:bubble3D val="0"/>
            <c:extLst>
              <c:ext xmlns:c16="http://schemas.microsoft.com/office/drawing/2014/chart" uri="{C3380CC4-5D6E-409C-BE32-E72D297353CC}">
                <c16:uniqueId val="{00000011-E96F-4773-AEBA-13D809EEAE8F}"/>
              </c:ext>
            </c:extLst>
          </c:dPt>
          <c:dPt>
            <c:idx val="33"/>
            <c:marker>
              <c:spPr>
                <a:solidFill>
                  <a:schemeClr val="bg2">
                    <a:lumMod val="50000"/>
                  </a:schemeClr>
                </a:solidFill>
                <a:ln>
                  <a:noFill/>
                  <a:prstDash val="solid"/>
                </a:ln>
              </c:spPr>
            </c:marker>
            <c:bubble3D val="0"/>
            <c:extLst>
              <c:ext xmlns:c16="http://schemas.microsoft.com/office/drawing/2014/chart" uri="{C3380CC4-5D6E-409C-BE32-E72D297353CC}">
                <c16:uniqueId val="{00000012-E96F-4773-AEBA-13D809EEAE8F}"/>
              </c:ext>
            </c:extLst>
          </c:dPt>
          <c:dPt>
            <c:idx val="35"/>
            <c:bubble3D val="0"/>
            <c:extLst>
              <c:ext xmlns:c16="http://schemas.microsoft.com/office/drawing/2014/chart" uri="{C3380CC4-5D6E-409C-BE32-E72D297353CC}">
                <c16:uniqueId val="{00000013-E96F-4773-AEBA-13D809EEAE8F}"/>
              </c:ext>
            </c:extLst>
          </c:dPt>
          <c:dPt>
            <c:idx val="37"/>
            <c:marker>
              <c:spPr>
                <a:solidFill>
                  <a:srgbClr val="00B050"/>
                </a:solidFill>
                <a:ln>
                  <a:solidFill>
                    <a:srgbClr val="00B050"/>
                  </a:solidFill>
                  <a:prstDash val="solid"/>
                </a:ln>
              </c:spPr>
            </c:marker>
            <c:bubble3D val="0"/>
            <c:extLst>
              <c:ext xmlns:c16="http://schemas.microsoft.com/office/drawing/2014/chart" uri="{C3380CC4-5D6E-409C-BE32-E72D297353CC}">
                <c16:uniqueId val="{00000014-E96F-4773-AEBA-13D809EEAE8F}"/>
              </c:ext>
            </c:extLst>
          </c:dPt>
          <c:dPt>
            <c:idx val="39"/>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5-E96F-4773-AEBA-13D809EEAE8F}"/>
              </c:ext>
            </c:extLst>
          </c:dPt>
          <c:cat>
            <c:strRef>
              <c:f>'WPI Relative Wellbeing Circle'!$B$12:$B$47</c:f>
              <c:strCache>
                <c:ptCount val="36"/>
                <c:pt idx="1">
                  <c:v>Building activity</c:v>
                </c:pt>
                <c:pt idx="3">
                  <c:v>Employment</c:v>
                </c:pt>
                <c:pt idx="5">
                  <c:v>Income</c:v>
                </c:pt>
                <c:pt idx="7">
                  <c:v>Regional GDP</c:v>
                </c:pt>
                <c:pt idx="9">
                  <c:v>Community engagement</c:v>
                </c:pt>
                <c:pt idx="11">
                  <c:v>Community pride</c:v>
                </c:pt>
                <c:pt idx="13">
                  <c:v>Crime</c:v>
                </c:pt>
                <c:pt idx="15">
                  <c:v>Educational attainment</c:v>
                </c:pt>
                <c:pt idx="17">
                  <c:v>Housing affordability</c:v>
                </c:pt>
                <c:pt idx="19">
                  <c:v>Income inequality</c:v>
                </c:pt>
                <c:pt idx="21">
                  <c:v>Life expectancy</c:v>
                </c:pt>
                <c:pt idx="23">
                  <c:v>Life satisfaction</c:v>
                </c:pt>
                <c:pt idx="25">
                  <c:v>Physical activity</c:v>
                </c:pt>
                <c:pt idx="27">
                  <c:v>Road safety</c:v>
                </c:pt>
                <c:pt idx="29">
                  <c:v>Social connectedness</c:v>
                </c:pt>
                <c:pt idx="31">
                  <c:v>Te Reo Māori speakers</c:v>
                </c:pt>
                <c:pt idx="33">
                  <c:v>Voter turnout</c:v>
                </c:pt>
                <c:pt idx="35">
                  <c:v>Recycling</c:v>
                </c:pt>
              </c:strCache>
            </c:strRef>
          </c:cat>
          <c:val>
            <c:numRef>
              <c:f>'WPI Relative Wellbeing Circle'!$G$12:$G$47</c:f>
              <c:numCache>
                <c:formatCode>0.00</c:formatCode>
                <c:ptCount val="36"/>
                <c:pt idx="0">
                  <c:v>0</c:v>
                </c:pt>
                <c:pt idx="1">
                  <c:v>0.96937711076643296</c:v>
                </c:pt>
                <c:pt idx="2">
                  <c:v>0</c:v>
                </c:pt>
                <c:pt idx="3">
                  <c:v>0.95677233429394826</c:v>
                </c:pt>
                <c:pt idx="4">
                  <c:v>0</c:v>
                </c:pt>
                <c:pt idx="5">
                  <c:v>0.94117647058823528</c:v>
                </c:pt>
                <c:pt idx="6">
                  <c:v>0</c:v>
                </c:pt>
                <c:pt idx="7">
                  <c:v>0.89001606671004241</c:v>
                </c:pt>
                <c:pt idx="8">
                  <c:v>0</c:v>
                </c:pt>
                <c:pt idx="9">
                  <c:v>1.107142857142857</c:v>
                </c:pt>
                <c:pt idx="10">
                  <c:v>0</c:v>
                </c:pt>
                <c:pt idx="11">
                  <c:v>1.1636363636363636</c:v>
                </c:pt>
                <c:pt idx="12">
                  <c:v>0</c:v>
                </c:pt>
                <c:pt idx="13">
                  <c:v>0.86043576874822092</c:v>
                </c:pt>
                <c:pt idx="14">
                  <c:v>0</c:v>
                </c:pt>
                <c:pt idx="15">
                  <c:v>0.96266666666666667</c:v>
                </c:pt>
                <c:pt idx="16">
                  <c:v>0</c:v>
                </c:pt>
                <c:pt idx="17">
                  <c:v>0.97309417040358737</c:v>
                </c:pt>
                <c:pt idx="18">
                  <c:v>0</c:v>
                </c:pt>
                <c:pt idx="19">
                  <c:v>1.0656753232412395</c:v>
                </c:pt>
                <c:pt idx="20">
                  <c:v>0</c:v>
                </c:pt>
                <c:pt idx="21">
                  <c:v>0.99449877750611249</c:v>
                </c:pt>
                <c:pt idx="22">
                  <c:v>0</c:v>
                </c:pt>
                <c:pt idx="23">
                  <c:v>1.036144578313253</c:v>
                </c:pt>
                <c:pt idx="24">
                  <c:v>0</c:v>
                </c:pt>
                <c:pt idx="25">
                  <c:v>1.1714285714285715</c:v>
                </c:pt>
                <c:pt idx="26">
                  <c:v>0</c:v>
                </c:pt>
                <c:pt idx="27">
                  <c:v>0.71436156305054022</c:v>
                </c:pt>
                <c:pt idx="28">
                  <c:v>0</c:v>
                </c:pt>
                <c:pt idx="29">
                  <c:v>1.1632653061224489</c:v>
                </c:pt>
                <c:pt idx="30">
                  <c:v>0</c:v>
                </c:pt>
                <c:pt idx="31">
                  <c:v>1.4750000000000001</c:v>
                </c:pt>
                <c:pt idx="32">
                  <c:v>0</c:v>
                </c:pt>
                <c:pt idx="33">
                  <c:v>0.90124814412594922</c:v>
                </c:pt>
                <c:pt idx="34">
                  <c:v>0</c:v>
                </c:pt>
                <c:pt idx="35">
                  <c:v>0.87765293383270904</c:v>
                </c:pt>
              </c:numCache>
            </c:numRef>
          </c:val>
          <c:extLst>
            <c:ext xmlns:c16="http://schemas.microsoft.com/office/drawing/2014/chart" uri="{C3380CC4-5D6E-409C-BE32-E72D297353CC}">
              <c16:uniqueId val="{00000016-E96F-4773-AEBA-13D809EEAE8F}"/>
            </c:ext>
          </c:extLst>
        </c:ser>
        <c:dLbls>
          <c:showLegendKey val="0"/>
          <c:showVal val="0"/>
          <c:showCatName val="0"/>
          <c:showSerName val="0"/>
          <c:showPercent val="0"/>
          <c:showBubbleSize val="0"/>
        </c:dLbls>
        <c:axId val="513065656"/>
        <c:axId val="1"/>
      </c:radarChart>
      <c:catAx>
        <c:axId val="513065656"/>
        <c:scaling>
          <c:orientation val="minMax"/>
        </c:scaling>
        <c:delete val="0"/>
        <c:axPos val="b"/>
        <c:numFmt formatCode="General" sourceLinked="1"/>
        <c:majorTickMark val="out"/>
        <c:minorTickMark val="none"/>
        <c:tickLblPos val="nextTo"/>
        <c:txPr>
          <a:bodyPr rot="0" vert="horz"/>
          <a:lstStyle/>
          <a:p>
            <a:pPr>
              <a:defRPr/>
            </a:pPr>
            <a:endParaRPr lang="en-US"/>
          </a:p>
        </c:txPr>
        <c:crossAx val="1"/>
        <c:crosses val="autoZero"/>
        <c:auto val="0"/>
        <c:lblAlgn val="ctr"/>
        <c:lblOffset val="100"/>
        <c:noMultiLvlLbl val="0"/>
      </c:catAx>
      <c:valAx>
        <c:axId val="1"/>
        <c:scaling>
          <c:orientation val="minMax"/>
        </c:scaling>
        <c:delete val="1"/>
        <c:axPos val="l"/>
        <c:numFmt formatCode="0.00" sourceLinked="1"/>
        <c:majorTickMark val="out"/>
        <c:minorTickMark val="none"/>
        <c:tickLblPos val="nextTo"/>
        <c:crossAx val="513065656"/>
        <c:crosses val="autoZero"/>
        <c:crossBetween val="between"/>
      </c:valAx>
      <c:spPr>
        <a:noFill/>
        <a:ln w="25400">
          <a:noFill/>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'Indigenous vegetation'!$A$9</c:f>
              <c:strCache>
                <c:ptCount val="1"/>
                <c:pt idx="0">
                  <c:v>Indigenous forest</c:v>
                </c:pt>
              </c:strCache>
            </c:strRef>
          </c:tx>
          <c:spPr>
            <a:solidFill>
              <a:srgbClr val="FF8233"/>
            </a:solidFill>
            <a:ln>
              <a:noFill/>
            </a:ln>
            <a:effectLst/>
          </c:spPr>
          <c:invertIfNegative val="0"/>
          <c:cat>
            <c:numRef>
              <c:f>'Indigenous vegetation'!$B$8:$E$8</c:f>
              <c:numCache>
                <c:formatCode>General</c:formatCode>
                <c:ptCount val="4"/>
                <c:pt idx="0">
                  <c:v>1840</c:v>
                </c:pt>
                <c:pt idx="1">
                  <c:v>1996</c:v>
                </c:pt>
                <c:pt idx="2">
                  <c:v>2012</c:v>
                </c:pt>
                <c:pt idx="3">
                  <c:v>2018</c:v>
                </c:pt>
              </c:numCache>
            </c:numRef>
          </c:cat>
          <c:val>
            <c:numRef>
              <c:f>'Indigenous vegetation'!$B$9:$E$9</c:f>
              <c:numCache>
                <c:formatCode>0</c:formatCode>
                <c:ptCount val="4"/>
                <c:pt idx="0">
                  <c:v>53.051209511281648</c:v>
                </c:pt>
                <c:pt idx="1">
                  <c:v>19.011062606933461</c:v>
                </c:pt>
                <c:pt idx="2">
                  <c:v>18.992746065260732</c:v>
                </c:pt>
                <c:pt idx="3">
                  <c:v>18.98904567203277</c:v>
                </c:pt>
              </c:numCache>
            </c:numRef>
          </c:val>
          <c:extLst>
            <c:ext xmlns:c16="http://schemas.microsoft.com/office/drawing/2014/chart" uri="{C3380CC4-5D6E-409C-BE32-E72D297353CC}">
              <c16:uniqueId val="{00000000-23B8-41C7-9D4E-8A70E27910F0}"/>
            </c:ext>
          </c:extLst>
        </c:ser>
        <c:ser>
          <c:idx val="1"/>
          <c:order val="1"/>
          <c:tx>
            <c:strRef>
              <c:f>'Indigenous vegetation'!$A$10</c:f>
              <c:strCache>
                <c:ptCount val="1"/>
                <c:pt idx="0">
                  <c:v>Indigenous scrub/shrubland</c:v>
                </c:pt>
              </c:strCache>
            </c:strRef>
          </c:tx>
          <c:spPr>
            <a:solidFill>
              <a:srgbClr val="FFB485"/>
            </a:solidFill>
            <a:ln>
              <a:noFill/>
            </a:ln>
            <a:effectLst/>
          </c:spPr>
          <c:invertIfNegative val="0"/>
          <c:cat>
            <c:numRef>
              <c:f>'Indigenous vegetation'!$B$8:$E$8</c:f>
              <c:numCache>
                <c:formatCode>General</c:formatCode>
                <c:ptCount val="4"/>
                <c:pt idx="0">
                  <c:v>1840</c:v>
                </c:pt>
                <c:pt idx="1">
                  <c:v>1996</c:v>
                </c:pt>
                <c:pt idx="2">
                  <c:v>2012</c:v>
                </c:pt>
                <c:pt idx="3">
                  <c:v>2018</c:v>
                </c:pt>
              </c:numCache>
            </c:numRef>
          </c:cat>
          <c:val>
            <c:numRef>
              <c:f>'Indigenous vegetation'!$B$10:$E$10</c:f>
              <c:numCache>
                <c:formatCode>0</c:formatCode>
                <c:ptCount val="4"/>
                <c:pt idx="0">
                  <c:v>21.140522881551558</c:v>
                </c:pt>
                <c:pt idx="1">
                  <c:v>7.6625044606573249</c:v>
                </c:pt>
                <c:pt idx="2">
                  <c:v>7.6239767134487364</c:v>
                </c:pt>
                <c:pt idx="3">
                  <c:v>7.6109257090205942</c:v>
                </c:pt>
              </c:numCache>
            </c:numRef>
          </c:val>
          <c:extLst>
            <c:ext xmlns:c16="http://schemas.microsoft.com/office/drawing/2014/chart" uri="{C3380CC4-5D6E-409C-BE32-E72D297353CC}">
              <c16:uniqueId val="{00000001-23B8-41C7-9D4E-8A70E27910F0}"/>
            </c:ext>
          </c:extLst>
        </c:ser>
        <c:ser>
          <c:idx val="2"/>
          <c:order val="2"/>
          <c:tx>
            <c:strRef>
              <c:f>'Indigenous vegetation'!$A$11</c:f>
              <c:strCache>
                <c:ptCount val="1"/>
                <c:pt idx="0">
                  <c:v>Indigenous tussock grassland</c:v>
                </c:pt>
              </c:strCache>
            </c:strRef>
          </c:tx>
          <c:spPr>
            <a:solidFill>
              <a:srgbClr val="FFE6D6"/>
            </a:solidFill>
            <a:ln>
              <a:noFill/>
            </a:ln>
            <a:effectLst/>
          </c:spPr>
          <c:invertIfNegative val="0"/>
          <c:cat>
            <c:numRef>
              <c:f>'Indigenous vegetation'!$B$8:$E$8</c:f>
              <c:numCache>
                <c:formatCode>General</c:formatCode>
                <c:ptCount val="4"/>
                <c:pt idx="0">
                  <c:v>1840</c:v>
                </c:pt>
                <c:pt idx="1">
                  <c:v>1996</c:v>
                </c:pt>
                <c:pt idx="2">
                  <c:v>2012</c:v>
                </c:pt>
                <c:pt idx="3">
                  <c:v>2018</c:v>
                </c:pt>
              </c:numCache>
            </c:numRef>
          </c:cat>
          <c:val>
            <c:numRef>
              <c:f>'Indigenous vegetation'!$B$11:$E$11</c:f>
              <c:numCache>
                <c:formatCode>0</c:formatCode>
                <c:ptCount val="4"/>
                <c:pt idx="0">
                  <c:v>19.407167991719469</c:v>
                </c:pt>
                <c:pt idx="1">
                  <c:v>0.4743412194091014</c:v>
                </c:pt>
                <c:pt idx="2">
                  <c:v>0.47436132990325502</c:v>
                </c:pt>
                <c:pt idx="3">
                  <c:v>0.47626061561712557</c:v>
                </c:pt>
              </c:numCache>
            </c:numRef>
          </c:val>
          <c:extLst>
            <c:ext xmlns:c16="http://schemas.microsoft.com/office/drawing/2014/chart" uri="{C3380CC4-5D6E-409C-BE32-E72D297353CC}">
              <c16:uniqueId val="{00000002-23B8-41C7-9D4E-8A70E27910F0}"/>
            </c:ext>
          </c:extLst>
        </c:ser>
        <c:dLbls>
          <c:showLegendKey val="0"/>
          <c:showVal val="0"/>
          <c:showCatName val="0"/>
          <c:showSerName val="0"/>
          <c:showPercent val="0"/>
          <c:showBubbleSize val="0"/>
        </c:dLbls>
        <c:gapWidth val="150"/>
        <c:overlap val="100"/>
        <c:axId val="570935416"/>
        <c:axId val="570936072"/>
      </c:barChart>
      <c:catAx>
        <c:axId val="570935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936072"/>
        <c:crosses val="autoZero"/>
        <c:auto val="1"/>
        <c:lblAlgn val="ctr"/>
        <c:lblOffset val="100"/>
        <c:noMultiLvlLbl val="0"/>
      </c:catAx>
      <c:valAx>
        <c:axId val="570936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Percentage of</a:t>
                </a:r>
                <a:r>
                  <a:rPr lang="en-AU" baseline="0"/>
                  <a:t> land covered in indigenous vegetation</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935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69937547538026"/>
          <c:y val="5.696214267319083E-2"/>
          <c:w val="0.79024515727444944"/>
          <c:h val="0.78551491190183509"/>
        </c:manualLayout>
      </c:layout>
      <c:barChart>
        <c:barDir val="col"/>
        <c:grouping val="clustered"/>
        <c:varyColors val="0"/>
        <c:ser>
          <c:idx val="0"/>
          <c:order val="0"/>
          <c:tx>
            <c:strRef>
              <c:f>Recycling!$A$9</c:f>
              <c:strCache>
                <c:ptCount val="1"/>
                <c:pt idx="0">
                  <c:v>Self-reported household recycling (%)</c:v>
                </c:pt>
              </c:strCache>
            </c:strRef>
          </c:tx>
          <c:spPr>
            <a:solidFill>
              <a:srgbClr val="FF8233"/>
            </a:solidFill>
            <a:ln w="25400">
              <a:noFill/>
            </a:ln>
          </c:spPr>
          <c:invertIfNegative val="0"/>
          <c:cat>
            <c:numRef>
              <c:f>Recycling!$B$8:$D$8</c:f>
              <c:numCache>
                <c:formatCode>General</c:formatCode>
                <c:ptCount val="3"/>
                <c:pt idx="0">
                  <c:v>2008</c:v>
                </c:pt>
                <c:pt idx="1">
                  <c:v>2010</c:v>
                </c:pt>
                <c:pt idx="2">
                  <c:v>2012</c:v>
                </c:pt>
              </c:numCache>
            </c:numRef>
          </c:cat>
          <c:val>
            <c:numRef>
              <c:f>Recycling!$B$9:$D$9</c:f>
              <c:numCache>
                <c:formatCode>0.0</c:formatCode>
                <c:ptCount val="3"/>
                <c:pt idx="0">
                  <c:v>66.2</c:v>
                </c:pt>
                <c:pt idx="1">
                  <c:v>71.5</c:v>
                </c:pt>
                <c:pt idx="2">
                  <c:v>70.3</c:v>
                </c:pt>
              </c:numCache>
            </c:numRef>
          </c:val>
          <c:extLst>
            <c:ext xmlns:c16="http://schemas.microsoft.com/office/drawing/2014/chart" uri="{C3380CC4-5D6E-409C-BE32-E72D297353CC}">
              <c16:uniqueId val="{00000000-B510-465D-BB82-7208499AE7E1}"/>
            </c:ext>
          </c:extLst>
        </c:ser>
        <c:dLbls>
          <c:showLegendKey val="0"/>
          <c:showVal val="0"/>
          <c:showCatName val="0"/>
          <c:showSerName val="0"/>
          <c:showPercent val="0"/>
          <c:showBubbleSize val="0"/>
        </c:dLbls>
        <c:gapWidth val="60"/>
        <c:axId val="513034824"/>
        <c:axId val="1"/>
      </c:barChart>
      <c:catAx>
        <c:axId val="513034824"/>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7967565029981013"/>
              <c:y val="0.910690942113248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Self-reported household recycling (%)</a:t>
                </a:r>
              </a:p>
            </c:rich>
          </c:tx>
          <c:layout>
            <c:manualLayout>
              <c:xMode val="edge"/>
              <c:yMode val="edge"/>
              <c:x val="2.9268292682926831E-2"/>
              <c:y val="0.2742622678494302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513034824"/>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24941222738036"/>
          <c:y val="5.7203449007143192E-2"/>
          <c:w val="0.72884591380474839"/>
          <c:h val="0.73093295953571857"/>
        </c:manualLayout>
      </c:layout>
      <c:barChart>
        <c:barDir val="col"/>
        <c:grouping val="stacked"/>
        <c:varyColors val="0"/>
        <c:ser>
          <c:idx val="0"/>
          <c:order val="0"/>
          <c:tx>
            <c:strRef>
              <c:f>'Rural subdivision'!$A$9</c:f>
              <c:strCache>
                <c:ptCount val="1"/>
                <c:pt idx="0">
                  <c:v>Urban</c:v>
                </c:pt>
              </c:strCache>
            </c:strRef>
          </c:tx>
          <c:spPr>
            <a:solidFill>
              <a:srgbClr val="FF8233"/>
            </a:solidFill>
            <a:ln w="25400">
              <a:noFill/>
            </a:ln>
          </c:spPr>
          <c:invertIfNegative val="0"/>
          <c:cat>
            <c:numRef>
              <c:f>'Rural subdivision'!$B$8:$E$8</c:f>
              <c:numCache>
                <c:formatCode>General</c:formatCode>
                <c:ptCount val="4"/>
                <c:pt idx="0">
                  <c:v>2002</c:v>
                </c:pt>
                <c:pt idx="1">
                  <c:v>2008</c:v>
                </c:pt>
                <c:pt idx="2">
                  <c:v>2012</c:v>
                </c:pt>
                <c:pt idx="3">
                  <c:v>2019</c:v>
                </c:pt>
              </c:numCache>
            </c:numRef>
          </c:cat>
          <c:val>
            <c:numRef>
              <c:f>'Rural subdivision'!$B$9:$E$9</c:f>
              <c:numCache>
                <c:formatCode>#,##0</c:formatCode>
                <c:ptCount val="4"/>
                <c:pt idx="0">
                  <c:v>8973</c:v>
                </c:pt>
                <c:pt idx="1">
                  <c:v>10138</c:v>
                </c:pt>
                <c:pt idx="2">
                  <c:v>10364</c:v>
                </c:pt>
                <c:pt idx="3">
                  <c:v>11187</c:v>
                </c:pt>
              </c:numCache>
            </c:numRef>
          </c:val>
          <c:extLst>
            <c:ext xmlns:c16="http://schemas.microsoft.com/office/drawing/2014/chart" uri="{C3380CC4-5D6E-409C-BE32-E72D297353CC}">
              <c16:uniqueId val="{00000000-578D-425D-A3B4-AA7DE1378E53}"/>
            </c:ext>
          </c:extLst>
        </c:ser>
        <c:ser>
          <c:idx val="1"/>
          <c:order val="1"/>
          <c:tx>
            <c:strRef>
              <c:f>'Rural subdivision'!$A$10</c:f>
              <c:strCache>
                <c:ptCount val="1"/>
                <c:pt idx="0">
                  <c:v>Rural residential</c:v>
                </c:pt>
              </c:strCache>
            </c:strRef>
          </c:tx>
          <c:spPr>
            <a:solidFill>
              <a:srgbClr val="FFB485"/>
            </a:solidFill>
          </c:spPr>
          <c:invertIfNegative val="0"/>
          <c:cat>
            <c:numRef>
              <c:f>'Rural subdivision'!$B$8:$E$8</c:f>
              <c:numCache>
                <c:formatCode>General</c:formatCode>
                <c:ptCount val="4"/>
                <c:pt idx="0">
                  <c:v>2002</c:v>
                </c:pt>
                <c:pt idx="1">
                  <c:v>2008</c:v>
                </c:pt>
                <c:pt idx="2">
                  <c:v>2012</c:v>
                </c:pt>
                <c:pt idx="3">
                  <c:v>2019</c:v>
                </c:pt>
              </c:numCache>
            </c:numRef>
          </c:cat>
          <c:val>
            <c:numRef>
              <c:f>'Rural subdivision'!$B$10:$E$10</c:f>
              <c:numCache>
                <c:formatCode>#,##0</c:formatCode>
                <c:ptCount val="4"/>
                <c:pt idx="0">
                  <c:v>3003</c:v>
                </c:pt>
                <c:pt idx="1">
                  <c:v>5724</c:v>
                </c:pt>
                <c:pt idx="2">
                  <c:v>6611</c:v>
                </c:pt>
                <c:pt idx="3">
                  <c:v>8323</c:v>
                </c:pt>
              </c:numCache>
            </c:numRef>
          </c:val>
          <c:extLst>
            <c:ext xmlns:c16="http://schemas.microsoft.com/office/drawing/2014/chart" uri="{C3380CC4-5D6E-409C-BE32-E72D297353CC}">
              <c16:uniqueId val="{00000001-578D-425D-A3B4-AA7DE1378E53}"/>
            </c:ext>
          </c:extLst>
        </c:ser>
        <c:dLbls>
          <c:showLegendKey val="0"/>
          <c:showVal val="0"/>
          <c:showCatName val="0"/>
          <c:showSerName val="0"/>
          <c:showPercent val="0"/>
          <c:showBubbleSize val="0"/>
        </c:dLbls>
        <c:gapWidth val="60"/>
        <c:overlap val="100"/>
        <c:axId val="656009544"/>
        <c:axId val="1"/>
      </c:barChart>
      <c:catAx>
        <c:axId val="656009544"/>
        <c:scaling>
          <c:orientation val="minMax"/>
        </c:scaling>
        <c:delete val="0"/>
        <c:axPos val="b"/>
        <c:title>
          <c:tx>
            <c:rich>
              <a:bodyPr/>
              <a:lstStyle/>
              <a:p>
                <a:pPr>
                  <a:defRPr sz="1050" b="0" i="0" u="none" strike="noStrike" baseline="0">
                    <a:solidFill>
                      <a:srgbClr val="000000"/>
                    </a:solidFill>
                    <a:latin typeface="Arial"/>
                    <a:ea typeface="Arial"/>
                    <a:cs typeface="Arial"/>
                  </a:defRPr>
                </a:pPr>
                <a:r>
                  <a:rPr lang="en-AU"/>
                  <a:t>Year</a:t>
                </a:r>
              </a:p>
            </c:rich>
          </c:tx>
          <c:layout>
            <c:manualLayout>
              <c:xMode val="edge"/>
              <c:yMode val="edge"/>
              <c:x val="0.49526858002684515"/>
              <c:y val="0.862288937287094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50" b="0" i="0" u="none" strike="noStrike" baseline="0">
                    <a:solidFill>
                      <a:srgbClr val="000000"/>
                    </a:solidFill>
                    <a:latin typeface="Arial"/>
                    <a:ea typeface="Arial"/>
                    <a:cs typeface="Arial"/>
                  </a:defRPr>
                </a:pPr>
                <a:r>
                  <a:rPr lang="en-AU"/>
                  <a:t>Urban</a:t>
                </a:r>
                <a:r>
                  <a:rPr lang="en-AU" baseline="0"/>
                  <a:t> and rural r</a:t>
                </a:r>
                <a:r>
                  <a:rPr lang="en-AU"/>
                  <a:t>esidential area on Highly Productive</a:t>
                </a:r>
                <a:r>
                  <a:rPr lang="en-AU" baseline="0"/>
                  <a:t> Land</a:t>
                </a:r>
                <a:r>
                  <a:rPr lang="en-AU"/>
                  <a:t> (ha)</a:t>
                </a:r>
              </a:p>
            </c:rich>
          </c:tx>
          <c:layout>
            <c:manualLayout>
              <c:xMode val="edge"/>
              <c:yMode val="edge"/>
              <c:x val="6.6627339335026117E-3"/>
              <c:y val="0.20762740827609313"/>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50" b="0" i="0" u="none" strike="noStrike" baseline="0">
                <a:solidFill>
                  <a:srgbClr val="000000"/>
                </a:solidFill>
                <a:latin typeface="Arial"/>
                <a:ea typeface="Arial"/>
                <a:cs typeface="Arial"/>
              </a:defRPr>
            </a:pPr>
            <a:endParaRPr lang="en-US"/>
          </a:p>
        </c:txPr>
        <c:crossAx val="656009544"/>
        <c:crosses val="autoZero"/>
        <c:crossBetween val="between"/>
      </c:valAx>
      <c:spPr>
        <a:noFill/>
        <a:ln w="25400">
          <a:noFill/>
        </a:ln>
      </c:spPr>
    </c:plotArea>
    <c:legend>
      <c:legendPos val="r"/>
      <c:layout>
        <c:manualLayout>
          <c:xMode val="edge"/>
          <c:yMode val="edge"/>
          <c:x val="0.33456598869766691"/>
          <c:y val="0.91921538894899923"/>
          <c:w val="0.36793129686150794"/>
          <c:h val="6.42773464751209E-2"/>
        </c:manualLayout>
      </c:layout>
      <c:overlay val="0"/>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76009540397816"/>
          <c:y val="4.5380875202593193E-2"/>
          <c:w val="0.76619391506515822"/>
          <c:h val="0.812249699943286"/>
        </c:manualLayout>
      </c:layout>
      <c:barChart>
        <c:barDir val="col"/>
        <c:grouping val="clustered"/>
        <c:varyColors val="0"/>
        <c:ser>
          <c:idx val="0"/>
          <c:order val="0"/>
          <c:tx>
            <c:strRef>
              <c:f>'Soil quality'!$A$9</c:f>
              <c:strCache>
                <c:ptCount val="1"/>
                <c:pt idx="0">
                  <c:v>Percentage of monitoring sites meeting five or more soil quality targets</c:v>
                </c:pt>
              </c:strCache>
            </c:strRef>
          </c:tx>
          <c:spPr>
            <a:solidFill>
              <a:srgbClr val="FF8233"/>
            </a:solidFill>
            <a:ln w="25400">
              <a:noFill/>
            </a:ln>
          </c:spPr>
          <c:invertIfNegative val="0"/>
          <c:cat>
            <c:numRef>
              <c:f>'Soil quality'!$B$8:$V$8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'Soil quality'!$B$9:$V$9</c:f>
              <c:numCache>
                <c:formatCode>0</c:formatCode>
                <c:ptCount val="21"/>
                <c:pt idx="0">
                  <c:v>87.059896200351218</c:v>
                </c:pt>
                <c:pt idx="1">
                  <c:v>87.232115359929864</c:v>
                </c:pt>
                <c:pt idx="2">
                  <c:v>85.883163138439812</c:v>
                </c:pt>
                <c:pt idx="3">
                  <c:v>88.015397716035139</c:v>
                </c:pt>
                <c:pt idx="4">
                  <c:v>86.109108885094855</c:v>
                </c:pt>
                <c:pt idx="5">
                  <c:v>88.353549758854939</c:v>
                </c:pt>
                <c:pt idx="6">
                  <c:v>85.193038814342742</c:v>
                </c:pt>
                <c:pt idx="7">
                  <c:v>82.304905457192717</c:v>
                </c:pt>
                <c:pt idx="8">
                  <c:v>85.365135740799815</c:v>
                </c:pt>
                <c:pt idx="9">
                  <c:v>82.487331406791739</c:v>
                </c:pt>
                <c:pt idx="10">
                  <c:v>79.792220091203347</c:v>
                </c:pt>
                <c:pt idx="11">
                  <c:v>77.060473638778291</c:v>
                </c:pt>
                <c:pt idx="12">
                  <c:v>77.617765209306157</c:v>
                </c:pt>
                <c:pt idx="13">
                  <c:v>83.057811544843247</c:v>
                </c:pt>
                <c:pt idx="14">
                  <c:v>84.989654917608817</c:v>
                </c:pt>
                <c:pt idx="15">
                  <c:v>82.187916890851056</c:v>
                </c:pt>
                <c:pt idx="16">
                  <c:v>87.553936836866143</c:v>
                </c:pt>
                <c:pt idx="17">
                  <c:v>89.572993881859787</c:v>
                </c:pt>
                <c:pt idx="18">
                  <c:v>92.342184345574751</c:v>
                </c:pt>
                <c:pt idx="19" formatCode="General">
                  <c:v>92</c:v>
                </c:pt>
                <c:pt idx="20">
                  <c:v>84.28838362810248</c:v>
                </c:pt>
              </c:numCache>
            </c:numRef>
          </c:val>
          <c:extLst>
            <c:ext xmlns:c16="http://schemas.microsoft.com/office/drawing/2014/chart" uri="{C3380CC4-5D6E-409C-BE32-E72D297353CC}">
              <c16:uniqueId val="{00000000-5EBD-4996-A548-D90ECF844A0A}"/>
            </c:ext>
          </c:extLst>
        </c:ser>
        <c:dLbls>
          <c:showLegendKey val="0"/>
          <c:showVal val="0"/>
          <c:showCatName val="0"/>
          <c:showSerName val="0"/>
          <c:showPercent val="0"/>
          <c:showBubbleSize val="0"/>
        </c:dLbls>
        <c:gapWidth val="60"/>
        <c:axId val="656033816"/>
        <c:axId val="1"/>
      </c:barChart>
      <c:catAx>
        <c:axId val="65603381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9605145798722727"/>
              <c:y val="0.924910818308515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Percent of monitoring sites meeting five or more
soil quality targets</a:t>
                </a:r>
              </a:p>
            </c:rich>
          </c:tx>
          <c:layout>
            <c:manualLayout>
              <c:xMode val="edge"/>
              <c:yMode val="edge"/>
              <c:x val="1.2638270403465485E-2"/>
              <c:y val="0.21393845869768791"/>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6033816"/>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763496143958871"/>
          <c:y val="5.7082452431289642E-2"/>
          <c:w val="0.62210796915167099"/>
          <c:h val="0.78787878787878785"/>
        </c:manualLayout>
      </c:layout>
      <c:barChart>
        <c:barDir val="col"/>
        <c:grouping val="clustered"/>
        <c:varyColors val="0"/>
        <c:ser>
          <c:idx val="0"/>
          <c:order val="0"/>
          <c:tx>
            <c:strRef>
              <c:f>Waste!$A$10</c:f>
              <c:strCache>
                <c:ptCount val="1"/>
                <c:pt idx="0">
                  <c:v>Waste to class 1 landfill (tonnes)</c:v>
                </c:pt>
              </c:strCache>
            </c:strRef>
          </c:tx>
          <c:spPr>
            <a:solidFill>
              <a:srgbClr val="FF8233"/>
            </a:solidFill>
            <a:ln w="25400">
              <a:noFill/>
            </a:ln>
          </c:spPr>
          <c:invertIfNegative val="0"/>
          <c:cat>
            <c:numRef>
              <c:f>Waste!$B$9:$F$9</c:f>
              <c:numCache>
                <c:formatCode>General</c:formatCode>
                <c:ptCount val="5"/>
                <c:pt idx="0">
                  <c:v>2006</c:v>
                </c:pt>
                <c:pt idx="1">
                  <c:v>2012</c:v>
                </c:pt>
                <c:pt idx="2">
                  <c:v>2015</c:v>
                </c:pt>
                <c:pt idx="3">
                  <c:v>2017</c:v>
                </c:pt>
                <c:pt idx="4">
                  <c:v>2020</c:v>
                </c:pt>
              </c:numCache>
            </c:numRef>
          </c:cat>
          <c:val>
            <c:numRef>
              <c:f>Waste!$B$10:$F$10</c:f>
              <c:numCache>
                <c:formatCode>#,##0</c:formatCode>
                <c:ptCount val="5"/>
                <c:pt idx="0">
                  <c:v>222000</c:v>
                </c:pt>
                <c:pt idx="1">
                  <c:v>226887</c:v>
                </c:pt>
                <c:pt idx="2">
                  <c:v>228723</c:v>
                </c:pt>
                <c:pt idx="3">
                  <c:v>220741</c:v>
                </c:pt>
                <c:pt idx="4">
                  <c:v>308885</c:v>
                </c:pt>
              </c:numCache>
            </c:numRef>
          </c:val>
          <c:extLst>
            <c:ext xmlns:c16="http://schemas.microsoft.com/office/drawing/2014/chart" uri="{C3380CC4-5D6E-409C-BE32-E72D297353CC}">
              <c16:uniqueId val="{00000000-0153-4355-8112-6E353A359503}"/>
            </c:ext>
          </c:extLst>
        </c:ser>
        <c:dLbls>
          <c:showLegendKey val="0"/>
          <c:showVal val="0"/>
          <c:showCatName val="0"/>
          <c:showSerName val="0"/>
          <c:showPercent val="0"/>
          <c:showBubbleSize val="0"/>
        </c:dLbls>
        <c:gapWidth val="60"/>
        <c:axId val="650510792"/>
        <c:axId val="1"/>
      </c:barChart>
      <c:catAx>
        <c:axId val="650510792"/>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5404441821262973"/>
              <c:y val="0.916138125440451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Waste to class 1 landfill (tonnes)</a:t>
                </a:r>
              </a:p>
            </c:rich>
          </c:tx>
          <c:layout>
            <c:manualLayout>
              <c:xMode val="edge"/>
              <c:yMode val="edge"/>
              <c:x val="6.1873219850925788E-2"/>
              <c:y val="0.1644819852063946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650510792"/>
        <c:crosses val="autoZero"/>
        <c:crossBetween val="between"/>
        <c:majorUnit val="6000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27806976734723"/>
          <c:y val="0.12065824298931939"/>
          <c:w val="0.58472301530356896"/>
          <c:h val="0.76965333785611312"/>
        </c:manualLayout>
      </c:layout>
      <c:radarChart>
        <c:radarStyle val="marker"/>
        <c:varyColors val="0"/>
        <c:ser>
          <c:idx val="0"/>
          <c:order val="0"/>
          <c:tx>
            <c:strRef>
              <c:f>'WPI Relative Wellbeing Circle'!$F$11</c:f>
              <c:strCache>
                <c:ptCount val="1"/>
                <c:pt idx="0">
                  <c:v>baseline</c:v>
                </c:pt>
              </c:strCache>
            </c:strRef>
          </c:tx>
          <c:spPr>
            <a:ln w="25400">
              <a:solidFill>
                <a:srgbClr val="000000"/>
              </a:solidFill>
              <a:prstDash val="solid"/>
            </a:ln>
          </c:spPr>
          <c:marker>
            <c:symbol val="none"/>
          </c:marker>
          <c:cat>
            <c:strRef>
              <c:f>'WPI Relative Wellbeing Circle'!$B$12:$B$47</c:f>
              <c:strCache>
                <c:ptCount val="36"/>
                <c:pt idx="1">
                  <c:v>Building activity</c:v>
                </c:pt>
                <c:pt idx="3">
                  <c:v>Employment</c:v>
                </c:pt>
                <c:pt idx="5">
                  <c:v>Income</c:v>
                </c:pt>
                <c:pt idx="7">
                  <c:v>Regional GDP</c:v>
                </c:pt>
                <c:pt idx="9">
                  <c:v>Community engagement</c:v>
                </c:pt>
                <c:pt idx="11">
                  <c:v>Community pride</c:v>
                </c:pt>
                <c:pt idx="13">
                  <c:v>Crime</c:v>
                </c:pt>
                <c:pt idx="15">
                  <c:v>Educational attainment</c:v>
                </c:pt>
                <c:pt idx="17">
                  <c:v>Housing affordability</c:v>
                </c:pt>
                <c:pt idx="19">
                  <c:v>Income inequality</c:v>
                </c:pt>
                <c:pt idx="21">
                  <c:v>Life expectancy</c:v>
                </c:pt>
                <c:pt idx="23">
                  <c:v>Life satisfaction</c:v>
                </c:pt>
                <c:pt idx="25">
                  <c:v>Physical activity</c:v>
                </c:pt>
                <c:pt idx="27">
                  <c:v>Road safety</c:v>
                </c:pt>
                <c:pt idx="29">
                  <c:v>Social connectedness</c:v>
                </c:pt>
                <c:pt idx="31">
                  <c:v>Te Reo Māori speakers</c:v>
                </c:pt>
                <c:pt idx="33">
                  <c:v>Voter turnout</c:v>
                </c:pt>
                <c:pt idx="35">
                  <c:v>Recycling</c:v>
                </c:pt>
              </c:strCache>
            </c:strRef>
          </c:cat>
          <c:val>
            <c:numRef>
              <c:f>'WPI Relative Wellbeing Circle'!$F$12:$F$47</c:f>
              <c:numCache>
                <c:formatCode>0.00</c:formatCode>
                <c:ptCount val="3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numCache>
            </c:numRef>
          </c:val>
          <c:extLst>
            <c:ext xmlns:c16="http://schemas.microsoft.com/office/drawing/2014/chart" uri="{C3380CC4-5D6E-409C-BE32-E72D297353CC}">
              <c16:uniqueId val="{00000000-5A6D-4216-885C-356EEA734925}"/>
            </c:ext>
          </c:extLst>
        </c:ser>
        <c:ser>
          <c:idx val="1"/>
          <c:order val="1"/>
          <c:tx>
            <c:strRef>
              <c:f>'WPI Relative Wellbeing Circle'!$C$11</c:f>
              <c:strCache>
                <c:ptCount val="1"/>
                <c:pt idx="0">
                  <c:v>Waikato</c:v>
                </c:pt>
              </c:strCache>
            </c:strRef>
          </c:tx>
          <c:spPr>
            <a:ln w="12700">
              <a:solidFill>
                <a:srgbClr val="000000"/>
              </a:solidFill>
              <a:prstDash val="solid"/>
            </a:ln>
          </c:spPr>
          <c:marker>
            <c:symbol val="x"/>
            <c:size val="5"/>
            <c:spPr>
              <a:solidFill>
                <a:srgbClr val="000000"/>
              </a:solidFill>
              <a:ln>
                <a:solidFill>
                  <a:srgbClr val="000000"/>
                </a:solidFill>
                <a:prstDash val="solid"/>
              </a:ln>
            </c:spPr>
          </c:marker>
          <c:cat>
            <c:strRef>
              <c:f>'WPI Relative Wellbeing Circle'!$B$12:$B$47</c:f>
              <c:strCache>
                <c:ptCount val="36"/>
                <c:pt idx="1">
                  <c:v>Building activity</c:v>
                </c:pt>
                <c:pt idx="3">
                  <c:v>Employment</c:v>
                </c:pt>
                <c:pt idx="5">
                  <c:v>Income</c:v>
                </c:pt>
                <c:pt idx="7">
                  <c:v>Regional GDP</c:v>
                </c:pt>
                <c:pt idx="9">
                  <c:v>Community engagement</c:v>
                </c:pt>
                <c:pt idx="11">
                  <c:v>Community pride</c:v>
                </c:pt>
                <c:pt idx="13">
                  <c:v>Crime</c:v>
                </c:pt>
                <c:pt idx="15">
                  <c:v>Educational attainment</c:v>
                </c:pt>
                <c:pt idx="17">
                  <c:v>Housing affordability</c:v>
                </c:pt>
                <c:pt idx="19">
                  <c:v>Income inequality</c:v>
                </c:pt>
                <c:pt idx="21">
                  <c:v>Life expectancy</c:v>
                </c:pt>
                <c:pt idx="23">
                  <c:v>Life satisfaction</c:v>
                </c:pt>
                <c:pt idx="25">
                  <c:v>Physical activity</c:v>
                </c:pt>
                <c:pt idx="27">
                  <c:v>Road safety</c:v>
                </c:pt>
                <c:pt idx="29">
                  <c:v>Social connectedness</c:v>
                </c:pt>
                <c:pt idx="31">
                  <c:v>Te Reo Māori speakers</c:v>
                </c:pt>
                <c:pt idx="33">
                  <c:v>Voter turnout</c:v>
                </c:pt>
                <c:pt idx="35">
                  <c:v>Recycling</c:v>
                </c:pt>
              </c:strCache>
            </c:strRef>
          </c:cat>
          <c:val>
            <c:numRef>
              <c:f>'WPI Relative Wellbeing Circle'!$G$12:$G$47</c:f>
              <c:numCache>
                <c:formatCode>0.00</c:formatCode>
                <c:ptCount val="36"/>
                <c:pt idx="0">
                  <c:v>0</c:v>
                </c:pt>
                <c:pt idx="1">
                  <c:v>0.96937711076643296</c:v>
                </c:pt>
                <c:pt idx="2">
                  <c:v>0</c:v>
                </c:pt>
                <c:pt idx="3">
                  <c:v>0.95677233429394826</c:v>
                </c:pt>
                <c:pt idx="4">
                  <c:v>0</c:v>
                </c:pt>
                <c:pt idx="5">
                  <c:v>0.94117647058823528</c:v>
                </c:pt>
                <c:pt idx="6">
                  <c:v>0</c:v>
                </c:pt>
                <c:pt idx="7">
                  <c:v>0.89001606671004241</c:v>
                </c:pt>
                <c:pt idx="8">
                  <c:v>0</c:v>
                </c:pt>
                <c:pt idx="9">
                  <c:v>1.107142857142857</c:v>
                </c:pt>
                <c:pt idx="10">
                  <c:v>0</c:v>
                </c:pt>
                <c:pt idx="11">
                  <c:v>1.1636363636363636</c:v>
                </c:pt>
                <c:pt idx="12">
                  <c:v>0</c:v>
                </c:pt>
                <c:pt idx="13">
                  <c:v>0.86043576874822092</c:v>
                </c:pt>
                <c:pt idx="14">
                  <c:v>0</c:v>
                </c:pt>
                <c:pt idx="15">
                  <c:v>0.96266666666666667</c:v>
                </c:pt>
                <c:pt idx="16">
                  <c:v>0</c:v>
                </c:pt>
                <c:pt idx="17">
                  <c:v>0.97309417040358737</c:v>
                </c:pt>
                <c:pt idx="18">
                  <c:v>0</c:v>
                </c:pt>
                <c:pt idx="19">
                  <c:v>1.0656753232412395</c:v>
                </c:pt>
                <c:pt idx="20">
                  <c:v>0</c:v>
                </c:pt>
                <c:pt idx="21">
                  <c:v>0.99449877750611249</c:v>
                </c:pt>
                <c:pt idx="22">
                  <c:v>0</c:v>
                </c:pt>
                <c:pt idx="23">
                  <c:v>1.036144578313253</c:v>
                </c:pt>
                <c:pt idx="24">
                  <c:v>0</c:v>
                </c:pt>
                <c:pt idx="25">
                  <c:v>1.1714285714285715</c:v>
                </c:pt>
                <c:pt idx="26">
                  <c:v>0</c:v>
                </c:pt>
                <c:pt idx="27">
                  <c:v>0.71436156305054022</c:v>
                </c:pt>
                <c:pt idx="28">
                  <c:v>0</c:v>
                </c:pt>
                <c:pt idx="29">
                  <c:v>1.1632653061224489</c:v>
                </c:pt>
                <c:pt idx="30">
                  <c:v>0</c:v>
                </c:pt>
                <c:pt idx="31">
                  <c:v>1.4750000000000001</c:v>
                </c:pt>
                <c:pt idx="32">
                  <c:v>0</c:v>
                </c:pt>
                <c:pt idx="33">
                  <c:v>0.90124814412594922</c:v>
                </c:pt>
                <c:pt idx="34">
                  <c:v>0</c:v>
                </c:pt>
                <c:pt idx="35">
                  <c:v>0.87765293383270904</c:v>
                </c:pt>
              </c:numCache>
            </c:numRef>
          </c:val>
          <c:extLst>
            <c:ext xmlns:c16="http://schemas.microsoft.com/office/drawing/2014/chart" uri="{C3380CC4-5D6E-409C-BE32-E72D297353CC}">
              <c16:uniqueId val="{00000001-5A6D-4216-885C-356EEA734925}"/>
            </c:ext>
          </c:extLst>
        </c:ser>
        <c:dLbls>
          <c:showLegendKey val="0"/>
          <c:showVal val="0"/>
          <c:showCatName val="0"/>
          <c:showSerName val="0"/>
          <c:showPercent val="0"/>
          <c:showBubbleSize val="0"/>
        </c:dLbls>
        <c:axId val="650516368"/>
        <c:axId val="1"/>
      </c:radarChart>
      <c:catAx>
        <c:axId val="650516368"/>
        <c:scaling>
          <c:orientation val="minMax"/>
        </c:scaling>
        <c:delete val="0"/>
        <c:axPos val="b"/>
        <c:numFmt formatCode="General" sourceLinked="1"/>
        <c:majorTickMark val="out"/>
        <c:minorTickMark val="none"/>
        <c:tickLblPos val="nextTo"/>
        <c:txPr>
          <a:bodyPr rot="0" vert="horz"/>
          <a:lstStyle/>
          <a:p>
            <a:pPr>
              <a:defRPr sz="1125"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scaling>
        <c:delete val="1"/>
        <c:axPos val="l"/>
        <c:numFmt formatCode="0.00" sourceLinked="1"/>
        <c:majorTickMark val="out"/>
        <c:minorTickMark val="none"/>
        <c:tickLblPos val="nextTo"/>
        <c:crossAx val="65051636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'Index of Wellbeing'!$A$8</c:f>
              <c:strCache>
                <c:ptCount val="1"/>
                <c:pt idx="0">
                  <c:v>GDP</c:v>
                </c:pt>
              </c:strCache>
            </c:strRef>
          </c:tx>
          <c:spPr>
            <a:ln w="25400">
              <a:solidFill>
                <a:srgbClr val="FF0000"/>
              </a:solidFill>
              <a:prstDash val="solid"/>
            </a:ln>
          </c:spPr>
          <c:marker>
            <c:symbol val="none"/>
          </c:marker>
          <c:cat>
            <c:numRef>
              <c:f>'Index of Wellbeing'!$B$7:$X$7</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'Index of Wellbeing'!$B$8:$X$8</c:f>
              <c:numCache>
                <c:formatCode>0</c:formatCode>
                <c:ptCount val="23"/>
                <c:pt idx="0">
                  <c:v>100</c:v>
                </c:pt>
                <c:pt idx="1">
                  <c:v>106.0512536966893</c:v>
                </c:pt>
                <c:pt idx="2">
                  <c:v>101.59395575988823</c:v>
                </c:pt>
                <c:pt idx="3">
                  <c:v>105.71453008528013</c:v>
                </c:pt>
                <c:pt idx="4">
                  <c:v>106.61613796980407</c:v>
                </c:pt>
                <c:pt idx="5">
                  <c:v>111.2740549183726</c:v>
                </c:pt>
                <c:pt idx="6">
                  <c:v>117.41813394269111</c:v>
                </c:pt>
                <c:pt idx="7">
                  <c:v>117.02632904651213</c:v>
                </c:pt>
                <c:pt idx="8">
                  <c:v>119.44043840210816</c:v>
                </c:pt>
                <c:pt idx="9">
                  <c:v>114.89621323284783</c:v>
                </c:pt>
                <c:pt idx="10">
                  <c:v>115.61463551017799</c:v>
                </c:pt>
                <c:pt idx="11">
                  <c:v>121.48303920355964</c:v>
                </c:pt>
                <c:pt idx="12">
                  <c:v>117.94334589193363</c:v>
                </c:pt>
                <c:pt idx="13">
                  <c:v>122.32125873156843</c:v>
                </c:pt>
                <c:pt idx="14">
                  <c:v>121.41444123852864</c:v>
                </c:pt>
                <c:pt idx="15">
                  <c:v>121.08723126566869</c:v>
                </c:pt>
                <c:pt idx="16">
                  <c:v>122.07148216273778</c:v>
                </c:pt>
                <c:pt idx="17">
                  <c:v>127.72090764454562</c:v>
                </c:pt>
                <c:pt idx="18">
                  <c:v>132.8394166377592</c:v>
                </c:pt>
                <c:pt idx="19">
                  <c:v>133.19678323382479</c:v>
                </c:pt>
                <c:pt idx="20">
                  <c:v>134.00166401531681</c:v>
                </c:pt>
                <c:pt idx="21">
                  <c:v>136.12266305010041</c:v>
                </c:pt>
                <c:pt idx="22">
                  <c:v>137.53010816688891</c:v>
                </c:pt>
              </c:numCache>
            </c:numRef>
          </c:val>
          <c:smooth val="0"/>
          <c:extLst>
            <c:ext xmlns:c16="http://schemas.microsoft.com/office/drawing/2014/chart" uri="{C3380CC4-5D6E-409C-BE32-E72D297353CC}">
              <c16:uniqueId val="{00000000-BA30-4E6D-8482-ABCBAC9C9283}"/>
            </c:ext>
          </c:extLst>
        </c:ser>
        <c:ser>
          <c:idx val="1"/>
          <c:order val="1"/>
          <c:tx>
            <c:strRef>
              <c:f>'Index of Wellbeing'!$A$9</c:f>
              <c:strCache>
                <c:ptCount val="1"/>
                <c:pt idx="0">
                  <c:v>Wellbeing Index</c:v>
                </c:pt>
              </c:strCache>
            </c:strRef>
          </c:tx>
          <c:spPr>
            <a:ln w="28575" cap="rnd">
              <a:solidFill>
                <a:schemeClr val="accent5">
                  <a:lumMod val="75000"/>
                </a:schemeClr>
              </a:solidFill>
              <a:round/>
            </a:ln>
            <a:effectLst/>
          </c:spPr>
          <c:marker>
            <c:symbol val="none"/>
          </c:marker>
          <c:cat>
            <c:numRef>
              <c:f>'Index of Wellbeing'!$B$7:$X$7</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'Index of Wellbeing'!$B$9:$X$9</c:f>
              <c:numCache>
                <c:formatCode>0</c:formatCode>
                <c:ptCount val="23"/>
                <c:pt idx="0">
                  <c:v>100</c:v>
                </c:pt>
                <c:pt idx="1">
                  <c:v>100.59990630978915</c:v>
                </c:pt>
                <c:pt idx="2">
                  <c:v>100.69903216326252</c:v>
                </c:pt>
                <c:pt idx="3">
                  <c:v>100.73503657601486</c:v>
                </c:pt>
                <c:pt idx="4">
                  <c:v>102.20639832727191</c:v>
                </c:pt>
                <c:pt idx="5">
                  <c:v>101.86254225633759</c:v>
                </c:pt>
                <c:pt idx="6">
                  <c:v>104.66629727687632</c:v>
                </c:pt>
                <c:pt idx="7">
                  <c:v>104.47164107237222</c:v>
                </c:pt>
                <c:pt idx="8">
                  <c:v>105.03919926688174</c:v>
                </c:pt>
                <c:pt idx="9">
                  <c:v>105.96015089714876</c:v>
                </c:pt>
                <c:pt idx="10">
                  <c:v>104.48627567141527</c:v>
                </c:pt>
                <c:pt idx="11">
                  <c:v>105.10790938328007</c:v>
                </c:pt>
                <c:pt idx="12">
                  <c:v>107.80158241933265</c:v>
                </c:pt>
                <c:pt idx="13">
                  <c:v>107.65153418511333</c:v>
                </c:pt>
                <c:pt idx="14">
                  <c:v>108.38397488315417</c:v>
                </c:pt>
                <c:pt idx="15">
                  <c:v>114.16726902481005</c:v>
                </c:pt>
                <c:pt idx="16">
                  <c:v>107.30765735273434</c:v>
                </c:pt>
                <c:pt idx="17">
                  <c:v>113.48121332222236</c:v>
                </c:pt>
                <c:pt idx="18">
                  <c:v>107.07595950906583</c:v>
                </c:pt>
                <c:pt idx="19">
                  <c:v>104.20215026405549</c:v>
                </c:pt>
                <c:pt idx="20">
                  <c:v>103.33865698863863</c:v>
                </c:pt>
                <c:pt idx="21">
                  <c:v>101.21049891961118</c:v>
                </c:pt>
                <c:pt idx="22">
                  <c:v>99.334739747813373</c:v>
                </c:pt>
              </c:numCache>
            </c:numRef>
          </c:val>
          <c:smooth val="0"/>
          <c:extLst>
            <c:ext xmlns:c16="http://schemas.microsoft.com/office/drawing/2014/chart" uri="{C3380CC4-5D6E-409C-BE32-E72D297353CC}">
              <c16:uniqueId val="{00000001-BA30-4E6D-8482-ABCBAC9C9283}"/>
            </c:ext>
          </c:extLst>
        </c:ser>
        <c:dLbls>
          <c:showLegendKey val="0"/>
          <c:showVal val="0"/>
          <c:showCatName val="0"/>
          <c:showSerName val="0"/>
          <c:showPercent val="0"/>
          <c:showBubbleSize val="0"/>
        </c:dLbls>
        <c:smooth val="0"/>
        <c:axId val="513088944"/>
        <c:axId val="1"/>
      </c:lineChart>
      <c:catAx>
        <c:axId val="51308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50" b="0" i="0" u="none" strike="noStrike" baseline="0">
                <a:solidFill>
                  <a:srgbClr val="333333"/>
                </a:solidFill>
                <a:latin typeface="Calibri"/>
                <a:ea typeface="Calibri"/>
                <a:cs typeface="Calibri"/>
              </a:defRPr>
            </a:pPr>
            <a:endParaRPr lang="en-US"/>
          </a:p>
        </c:txPr>
        <c:crossAx val="1"/>
        <c:crosses val="autoZero"/>
        <c:auto val="1"/>
        <c:lblAlgn val="ctr"/>
        <c:lblOffset val="100"/>
        <c:tickLblSkip val="1"/>
        <c:noMultiLvlLbl val="0"/>
      </c:catAx>
      <c:valAx>
        <c:axId val="1"/>
        <c:scaling>
          <c:orientation val="minMax"/>
          <c:min val="60"/>
        </c:scaling>
        <c:delete val="0"/>
        <c:axPos val="l"/>
        <c:majorGridlines>
          <c:spPr>
            <a:ln w="9525" cap="flat" cmpd="sng" algn="ctr">
              <a:solidFill>
                <a:schemeClr val="tx1">
                  <a:lumMod val="15000"/>
                  <a:lumOff val="85000"/>
                </a:schemeClr>
              </a:solidFill>
              <a:round/>
            </a:ln>
            <a:effectLst/>
          </c:spPr>
        </c:majorGridlines>
        <c:title>
          <c:tx>
            <c:rich>
              <a:bodyPr/>
              <a:lstStyle/>
              <a:p>
                <a:pPr>
                  <a:defRPr sz="1200" b="0" i="0" u="none" strike="noStrike" baseline="0">
                    <a:solidFill>
                      <a:srgbClr val="333333"/>
                    </a:solidFill>
                    <a:latin typeface="Calibri"/>
                    <a:ea typeface="Calibri"/>
                    <a:cs typeface="Calibri"/>
                  </a:defRPr>
                </a:pPr>
                <a:r>
                  <a:rPr lang="en-AU"/>
                  <a:t>Percentage change in idex (2001 baseline = 100)</a:t>
                </a:r>
              </a:p>
            </c:rich>
          </c:tx>
          <c:overlay val="0"/>
          <c:spPr>
            <a:noFill/>
            <a:ln w="25400">
              <a:noFill/>
            </a:ln>
          </c:spPr>
        </c:title>
        <c:numFmt formatCode="0" sourceLinked="1"/>
        <c:majorTickMark val="none"/>
        <c:minorTickMark val="none"/>
        <c:tickLblPos val="nextTo"/>
        <c:spPr>
          <a:ln w="9525">
            <a:noFill/>
          </a:ln>
        </c:spPr>
        <c:txPr>
          <a:bodyPr rot="0" vert="horz"/>
          <a:lstStyle/>
          <a:p>
            <a:pPr>
              <a:defRPr sz="1200" b="0" i="0" u="none" strike="noStrike" baseline="0">
                <a:solidFill>
                  <a:srgbClr val="333333"/>
                </a:solidFill>
                <a:latin typeface="Calibri"/>
                <a:ea typeface="Calibri"/>
                <a:cs typeface="Calibri"/>
              </a:defRPr>
            </a:pPr>
            <a:endParaRPr lang="en-US"/>
          </a:p>
        </c:txPr>
        <c:crossAx val="513088944"/>
        <c:crosses val="autoZero"/>
        <c:crossBetween val="between"/>
      </c:valAx>
      <c:spPr>
        <a:noFill/>
        <a:ln w="25400">
          <a:noFill/>
        </a:ln>
      </c:spPr>
    </c:plotArea>
    <c:legend>
      <c:legendPos val="b"/>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73776455185875"/>
          <c:y val="6.0344827586206899E-2"/>
          <c:w val="0.7588157553110092"/>
          <c:h val="0.7808908045977011"/>
        </c:manualLayout>
      </c:layout>
      <c:barChart>
        <c:barDir val="col"/>
        <c:grouping val="clustered"/>
        <c:varyColors val="0"/>
        <c:ser>
          <c:idx val="0"/>
          <c:order val="0"/>
          <c:tx>
            <c:strRef>
              <c:f>'Building activity'!$A$9</c:f>
              <c:strCache>
                <c:ptCount val="1"/>
                <c:pt idx="0">
                  <c:v>Real value of new building consents authorised per capita ($) (annual - Dec)</c:v>
                </c:pt>
              </c:strCache>
            </c:strRef>
          </c:tx>
          <c:spPr>
            <a:solidFill>
              <a:srgbClr val="40B0FF"/>
            </a:solidFill>
            <a:ln w="25400">
              <a:noFill/>
            </a:ln>
          </c:spPr>
          <c:invertIfNegative val="0"/>
          <c:cat>
            <c:numRef>
              <c:f>'Building activity'!$B$8:$AC$8</c:f>
              <c:numCache>
                <c:formatCode>General</c:formatCode>
                <c:ptCount val="2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'Building activity'!$B$9:$AC$9</c:f>
              <c:numCache>
                <c:formatCode>#,##0</c:formatCode>
                <c:ptCount val="28"/>
                <c:pt idx="0">
                  <c:v>2118.7848328641644</c:v>
                </c:pt>
                <c:pt idx="1">
                  <c:v>2429.062179036116</c:v>
                </c:pt>
                <c:pt idx="2">
                  <c:v>2295.3141929790072</c:v>
                </c:pt>
                <c:pt idx="3">
                  <c:v>2490.5357964341465</c:v>
                </c:pt>
                <c:pt idx="4">
                  <c:v>2043.4134075211905</c:v>
                </c:pt>
                <c:pt idx="5">
                  <c:v>2377.8669415323129</c:v>
                </c:pt>
                <c:pt idx="6">
                  <c:v>2452.7538539981974</c:v>
                </c:pt>
                <c:pt idx="7">
                  <c:v>3346.0151781742588</c:v>
                </c:pt>
                <c:pt idx="8">
                  <c:v>3722.4933310668976</c:v>
                </c:pt>
                <c:pt idx="9">
                  <c:v>4614.5660489108468</c:v>
                </c:pt>
                <c:pt idx="10">
                  <c:v>4060.3838093722311</c:v>
                </c:pt>
                <c:pt idx="11">
                  <c:v>4189.9326081078243</c:v>
                </c:pt>
                <c:pt idx="12">
                  <c:v>3431.8202907046516</c:v>
                </c:pt>
                <c:pt idx="13">
                  <c:v>2688.6519800989095</c:v>
                </c:pt>
                <c:pt idx="14">
                  <c:v>2749.8015534956976</c:v>
                </c:pt>
                <c:pt idx="15">
                  <c:v>2180.3425124417117</c:v>
                </c:pt>
                <c:pt idx="16">
                  <c:v>2488.8991604702155</c:v>
                </c:pt>
                <c:pt idx="17">
                  <c:v>2701.7226357949767</c:v>
                </c:pt>
                <c:pt idx="18">
                  <c:v>3021.9270100268823</c:v>
                </c:pt>
                <c:pt idx="19">
                  <c:v>3662.8059779768259</c:v>
                </c:pt>
                <c:pt idx="20">
                  <c:v>4019.6219061027682</c:v>
                </c:pt>
                <c:pt idx="21">
                  <c:v>4240.4645646356039</c:v>
                </c:pt>
                <c:pt idx="22">
                  <c:v>4579.1886920656925</c:v>
                </c:pt>
                <c:pt idx="23">
                  <c:v>5117.2176692467574</c:v>
                </c:pt>
                <c:pt idx="24">
                  <c:v>4984.13983734668</c:v>
                </c:pt>
                <c:pt idx="25">
                  <c:v>5960.4100230499207</c:v>
                </c:pt>
                <c:pt idx="26">
                  <c:v>5971.2367719292597</c:v>
                </c:pt>
                <c:pt idx="27">
                  <c:v>4326.9483027171837</c:v>
                </c:pt>
              </c:numCache>
            </c:numRef>
          </c:val>
          <c:extLst>
            <c:ext xmlns:c16="http://schemas.microsoft.com/office/drawing/2014/chart" uri="{C3380CC4-5D6E-409C-BE32-E72D297353CC}">
              <c16:uniqueId val="{00000000-03CB-468C-B071-DD3068C6F8E0}"/>
            </c:ext>
          </c:extLst>
        </c:ser>
        <c:dLbls>
          <c:showLegendKey val="0"/>
          <c:showVal val="0"/>
          <c:showCatName val="0"/>
          <c:showSerName val="0"/>
          <c:showPercent val="0"/>
          <c:showBubbleSize val="0"/>
        </c:dLbls>
        <c:gapWidth val="60"/>
        <c:axId val="653164880"/>
        <c:axId val="1"/>
      </c:barChart>
      <c:catAx>
        <c:axId val="65316488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50378316172016957"/>
              <c:y val="0.92744252873563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Real value of new building consents per</a:t>
                </a:r>
                <a:r>
                  <a:rPr lang="en-AU" baseline="0"/>
                  <a:t> capita</a:t>
                </a:r>
                <a:r>
                  <a:rPr lang="en-AU"/>
                  <a:t> ($) (annual- Dec)</a:t>
                </a:r>
              </a:p>
            </c:rich>
          </c:tx>
          <c:layout>
            <c:manualLayout>
              <c:xMode val="edge"/>
              <c:yMode val="edge"/>
              <c:x val="1.2693922875025238E-2"/>
              <c:y val="0.20258620689655171"/>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3164880"/>
        <c:crosses val="autoZero"/>
        <c:crossBetween val="between"/>
        <c:majorUnit val="100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0635930047695"/>
          <c:y val="5.7815845824411134E-2"/>
          <c:w val="0.78696343402225755"/>
          <c:h val="0.78075523929311896"/>
        </c:manualLayout>
      </c:layout>
      <c:barChart>
        <c:barDir val="col"/>
        <c:grouping val="clustered"/>
        <c:varyColors val="0"/>
        <c:ser>
          <c:idx val="0"/>
          <c:order val="0"/>
          <c:tx>
            <c:strRef>
              <c:f>Employment!$A$9</c:f>
              <c:strCache>
                <c:ptCount val="1"/>
                <c:pt idx="0">
                  <c:v>Employment rate (percent of working-age population) (Dec)</c:v>
                </c:pt>
              </c:strCache>
            </c:strRef>
          </c:tx>
          <c:spPr>
            <a:solidFill>
              <a:srgbClr val="40B0FF"/>
            </a:solidFill>
            <a:ln w="25400">
              <a:noFill/>
            </a:ln>
          </c:spPr>
          <c:invertIfNegative val="0"/>
          <c:cat>
            <c:numRef>
              <c:f>Employment!$B$8:$X$8</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Employment!$B$9:$X$9</c:f>
              <c:numCache>
                <c:formatCode>General</c:formatCode>
                <c:ptCount val="23"/>
                <c:pt idx="0">
                  <c:v>62.2</c:v>
                </c:pt>
                <c:pt idx="1">
                  <c:v>64.900000000000006</c:v>
                </c:pt>
                <c:pt idx="2">
                  <c:v>65.5</c:v>
                </c:pt>
                <c:pt idx="3">
                  <c:v>65.7</c:v>
                </c:pt>
                <c:pt idx="4">
                  <c:v>65.599999999999994</c:v>
                </c:pt>
                <c:pt idx="5" formatCode="0.0">
                  <c:v>66.7</c:v>
                </c:pt>
                <c:pt idx="6" formatCode="0.0">
                  <c:v>67.099999999999994</c:v>
                </c:pt>
                <c:pt idx="7" formatCode="0.0">
                  <c:v>66.8</c:v>
                </c:pt>
                <c:pt idx="8" formatCode="0.0">
                  <c:v>64.7</c:v>
                </c:pt>
                <c:pt idx="9" formatCode="0.0">
                  <c:v>63.6</c:v>
                </c:pt>
                <c:pt idx="10" formatCode="0.0">
                  <c:v>64.599999999999994</c:v>
                </c:pt>
                <c:pt idx="11" formatCode="0.0">
                  <c:v>62.5</c:v>
                </c:pt>
                <c:pt idx="12" formatCode="0.0">
                  <c:v>63.6</c:v>
                </c:pt>
                <c:pt idx="13" formatCode="0.0">
                  <c:v>64.2</c:v>
                </c:pt>
                <c:pt idx="14" formatCode="0.0">
                  <c:v>64.2</c:v>
                </c:pt>
                <c:pt idx="15" formatCode="0.0">
                  <c:v>65.2</c:v>
                </c:pt>
                <c:pt idx="16" formatCode="0.0">
                  <c:v>69</c:v>
                </c:pt>
                <c:pt idx="17" formatCode="0.0">
                  <c:v>70</c:v>
                </c:pt>
                <c:pt idx="18" formatCode="0.0">
                  <c:v>68</c:v>
                </c:pt>
                <c:pt idx="19" formatCode="0.0">
                  <c:v>67.099999999999994</c:v>
                </c:pt>
                <c:pt idx="20">
                  <c:v>67.2</c:v>
                </c:pt>
                <c:pt idx="21">
                  <c:v>67.099999999999994</c:v>
                </c:pt>
                <c:pt idx="22">
                  <c:v>66.400000000000006</c:v>
                </c:pt>
              </c:numCache>
            </c:numRef>
          </c:val>
          <c:extLst>
            <c:ext xmlns:c16="http://schemas.microsoft.com/office/drawing/2014/chart" uri="{C3380CC4-5D6E-409C-BE32-E72D297353CC}">
              <c16:uniqueId val="{00000000-B674-4709-97E1-A6222304833B}"/>
            </c:ext>
          </c:extLst>
        </c:ser>
        <c:dLbls>
          <c:showLegendKey val="0"/>
          <c:showVal val="0"/>
          <c:showCatName val="0"/>
          <c:showSerName val="0"/>
          <c:showPercent val="0"/>
          <c:showBubbleSize val="0"/>
        </c:dLbls>
        <c:gapWidth val="60"/>
        <c:axId val="513068936"/>
        <c:axId val="1"/>
      </c:barChart>
      <c:catAx>
        <c:axId val="513068936"/>
        <c:scaling>
          <c:orientation val="minMax"/>
        </c:scaling>
        <c:delete val="0"/>
        <c:axPos val="b"/>
        <c:title>
          <c:tx>
            <c:rich>
              <a:bodyPr/>
              <a:lstStyle/>
              <a:p>
                <a:pPr>
                  <a:defRPr/>
                </a:pPr>
                <a:r>
                  <a:rPr lang="en-AU"/>
                  <a:t>Year (Dec qtr)</a:t>
                </a:r>
              </a:p>
            </c:rich>
          </c:tx>
          <c:layout>
            <c:manualLayout>
              <c:xMode val="edge"/>
              <c:yMode val="edge"/>
              <c:x val="0.44197138314785372"/>
              <c:y val="0.922270197625734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a:pPr>
            <a:endParaRPr lang="en-US"/>
          </a:p>
        </c:txPr>
        <c:crossAx val="1"/>
        <c:crosses val="autoZero"/>
        <c:auto val="1"/>
        <c:lblAlgn val="ctr"/>
        <c:lblOffset val="100"/>
        <c:tickLblSkip val="2"/>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a:pPr>
                <a:r>
                  <a:rPr lang="en-AU"/>
                  <a:t>Employment rate (percent of working-age
population)</a:t>
                </a:r>
              </a:p>
            </c:rich>
          </c:tx>
          <c:layout>
            <c:manualLayout>
              <c:xMode val="edge"/>
              <c:yMode val="edge"/>
              <c:x val="9.538950715421303E-3"/>
              <c:y val="0.13490354187127049"/>
            </c:manualLayout>
          </c:layout>
          <c:overlay val="0"/>
          <c:spPr>
            <a:noFill/>
            <a:ln w="25400">
              <a:noFill/>
            </a:ln>
          </c:spPr>
        </c:title>
        <c:numFmt formatCode="#,##0" sourceLinked="0"/>
        <c:majorTickMark val="out"/>
        <c:minorTickMark val="none"/>
        <c:tickLblPos val="nextTo"/>
        <c:spPr>
          <a:ln w="9525">
            <a:noFill/>
          </a:ln>
        </c:spPr>
        <c:txPr>
          <a:bodyPr rot="0" vert="horz"/>
          <a:lstStyle/>
          <a:p>
            <a:pPr>
              <a:defRPr/>
            </a:pPr>
            <a:endParaRPr lang="en-US"/>
          </a:p>
        </c:txPr>
        <c:crossAx val="513068936"/>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95501461397451"/>
          <c:y val="6.047522576440352E-2"/>
          <c:w val="0.75988805378273661"/>
          <c:h val="0.77465870761835132"/>
        </c:manualLayout>
      </c:layout>
      <c:barChart>
        <c:barDir val="col"/>
        <c:grouping val="clustered"/>
        <c:varyColors val="0"/>
        <c:ser>
          <c:idx val="0"/>
          <c:order val="0"/>
          <c:tx>
            <c:strRef>
              <c:f>Income!$A$9</c:f>
              <c:strCache>
                <c:ptCount val="1"/>
                <c:pt idx="0">
                  <c:v>Real median weekly household income (2023 dollars)</c:v>
                </c:pt>
              </c:strCache>
            </c:strRef>
          </c:tx>
          <c:spPr>
            <a:solidFill>
              <a:srgbClr val="40B0FF"/>
            </a:solidFill>
            <a:ln w="25400">
              <a:noFill/>
            </a:ln>
          </c:spPr>
          <c:invertIfNegative val="0"/>
          <c:cat>
            <c:numRef>
              <c:f>Income!$B$8:$AA$8</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Income!$B$9:$AA$9</c:f>
              <c:numCache>
                <c:formatCode>"$"#,##0</c:formatCode>
                <c:ptCount val="26"/>
                <c:pt idx="0">
                  <c:v>1317.652767588083</c:v>
                </c:pt>
                <c:pt idx="1">
                  <c:v>1306.1307030400039</c:v>
                </c:pt>
                <c:pt idx="2">
                  <c:v>1369.4453162774344</c:v>
                </c:pt>
                <c:pt idx="3">
                  <c:v>1388.5477295930525</c:v>
                </c:pt>
                <c:pt idx="4">
                  <c:v>1448.5737925058211</c:v>
                </c:pt>
                <c:pt idx="5">
                  <c:v>1480.3343325124372</c:v>
                </c:pt>
                <c:pt idx="6">
                  <c:v>1423.4965396564135</c:v>
                </c:pt>
                <c:pt idx="7">
                  <c:v>1564.6068108557761</c:v>
                </c:pt>
                <c:pt idx="8">
                  <c:v>1620.8915400000001</c:v>
                </c:pt>
                <c:pt idx="9">
                  <c:v>1669.0087058823531</c:v>
                </c:pt>
                <c:pt idx="10">
                  <c:v>1706.9293119698395</c:v>
                </c:pt>
                <c:pt idx="11">
                  <c:v>1671.160379278446</c:v>
                </c:pt>
                <c:pt idx="12">
                  <c:v>1580.6193903548681</c:v>
                </c:pt>
                <c:pt idx="13">
                  <c:v>1500.0790838375108</c:v>
                </c:pt>
                <c:pt idx="14">
                  <c:v>1575.1087243150685</c:v>
                </c:pt>
                <c:pt idx="15">
                  <c:v>1596.4772448979593</c:v>
                </c:pt>
                <c:pt idx="16">
                  <c:v>1529.4169958158998</c:v>
                </c:pt>
                <c:pt idx="17">
                  <c:v>1652.5849499999999</c:v>
                </c:pt>
                <c:pt idx="18">
                  <c:v>1861.1502572614108</c:v>
                </c:pt>
                <c:pt idx="19">
                  <c:v>1844.0428874388258</c:v>
                </c:pt>
                <c:pt idx="20">
                  <c:v>2031.4585861345718</c:v>
                </c:pt>
                <c:pt idx="21">
                  <c:v>2058.8323545916555</c:v>
                </c:pt>
                <c:pt idx="22">
                  <c:v>2012.8757108801669</c:v>
                </c:pt>
                <c:pt idx="23">
                  <c:v>2061.5353742470961</c:v>
                </c:pt>
                <c:pt idx="24">
                  <c:v>2051.6663388108668</c:v>
                </c:pt>
                <c:pt idx="25">
                  <c:v>2080</c:v>
                </c:pt>
              </c:numCache>
            </c:numRef>
          </c:val>
          <c:extLst>
            <c:ext xmlns:c16="http://schemas.microsoft.com/office/drawing/2014/chart" uri="{C3380CC4-5D6E-409C-BE32-E72D297353CC}">
              <c16:uniqueId val="{00000000-9092-45B3-A559-D79B872F4BF4}"/>
            </c:ext>
          </c:extLst>
        </c:ser>
        <c:dLbls>
          <c:showLegendKey val="0"/>
          <c:showVal val="0"/>
          <c:showCatName val="0"/>
          <c:showSerName val="0"/>
          <c:showPercent val="0"/>
          <c:showBubbleSize val="0"/>
        </c:dLbls>
        <c:gapWidth val="60"/>
        <c:axId val="513078120"/>
        <c:axId val="1"/>
      </c:barChart>
      <c:catAx>
        <c:axId val="51307812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5108293666681496"/>
              <c:y val="0.901368797582807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Real median weekly household income
(2023 dollars)</a:t>
                </a:r>
              </a:p>
            </c:rich>
          </c:tx>
          <c:layout>
            <c:manualLayout>
              <c:xMode val="edge"/>
              <c:yMode val="edge"/>
              <c:x val="1.2711864406779662E-2"/>
              <c:y val="0.205183812066688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78120"/>
        <c:crosses val="autoZero"/>
        <c:crossBetween val="between"/>
        <c:majorUnit val="25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09140192558361"/>
          <c:y val="6.1269212071351109E-2"/>
          <c:w val="0.74501528141593409"/>
          <c:h val="0.76002986497584946"/>
        </c:manualLayout>
      </c:layout>
      <c:barChart>
        <c:barDir val="col"/>
        <c:grouping val="clustered"/>
        <c:varyColors val="0"/>
        <c:ser>
          <c:idx val="0"/>
          <c:order val="0"/>
          <c:tx>
            <c:strRef>
              <c:f>'Regional GDP'!$A$9</c:f>
              <c:strCache>
                <c:ptCount val="1"/>
                <c:pt idx="0">
                  <c:v>Real GDP per person (2023 prices)</c:v>
                </c:pt>
              </c:strCache>
            </c:strRef>
          </c:tx>
          <c:spPr>
            <a:solidFill>
              <a:srgbClr val="40B0FF"/>
            </a:solidFill>
            <a:ln w="25400">
              <a:noFill/>
            </a:ln>
          </c:spPr>
          <c:invertIfNegative val="0"/>
          <c:cat>
            <c:numRef>
              <c:f>'Regional GDP'!$B$8:$Y$8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'Regional GDP'!$B$9:$Y$9</c:f>
              <c:numCache>
                <c:formatCode>"$"#,##0</c:formatCode>
                <c:ptCount val="24"/>
                <c:pt idx="0">
                  <c:v>45602.069767441862</c:v>
                </c:pt>
                <c:pt idx="1">
                  <c:v>48736.964504283962</c:v>
                </c:pt>
                <c:pt idx="2">
                  <c:v>51686.161870503602</c:v>
                </c:pt>
                <c:pt idx="3">
                  <c:v>49513.810157194683</c:v>
                </c:pt>
                <c:pt idx="4">
                  <c:v>51522.053003533569</c:v>
                </c:pt>
                <c:pt idx="5">
                  <c:v>51961.469318181829</c:v>
                </c:pt>
                <c:pt idx="6">
                  <c:v>54231.596648044695</c:v>
                </c:pt>
                <c:pt idx="7">
                  <c:v>57226.034261241963</c:v>
                </c:pt>
                <c:pt idx="8">
                  <c:v>57035.080448065171</c:v>
                </c:pt>
                <c:pt idx="9">
                  <c:v>58211.644067796602</c:v>
                </c:pt>
                <c:pt idx="10">
                  <c:v>55996.926660059456</c:v>
                </c:pt>
                <c:pt idx="11">
                  <c:v>56347.063870352722</c:v>
                </c:pt>
                <c:pt idx="12">
                  <c:v>59207.145695364234</c:v>
                </c:pt>
                <c:pt idx="13">
                  <c:v>57482.00662251655</c:v>
                </c:pt>
                <c:pt idx="14">
                  <c:v>59615.668449197852</c:v>
                </c:pt>
                <c:pt idx="15">
                  <c:v>59173.713129496406</c:v>
                </c:pt>
                <c:pt idx="16">
                  <c:v>59014.240921169177</c:v>
                </c:pt>
                <c:pt idx="17">
                  <c:v>59493.934931506839</c:v>
                </c:pt>
                <c:pt idx="18">
                  <c:v>62247.293423271498</c:v>
                </c:pt>
                <c:pt idx="19">
                  <c:v>64741.899334442591</c:v>
                </c:pt>
                <c:pt idx="20">
                  <c:v>64916.068965517239</c:v>
                </c:pt>
                <c:pt idx="21">
                  <c:v>65308.343426294814</c:v>
                </c:pt>
                <c:pt idx="22">
                  <c:v>66342.053973013506</c:v>
                </c:pt>
                <c:pt idx="23">
                  <c:v>67028</c:v>
                </c:pt>
              </c:numCache>
            </c:numRef>
          </c:val>
          <c:extLst>
            <c:ext xmlns:c16="http://schemas.microsoft.com/office/drawing/2014/chart" uri="{C3380CC4-5D6E-409C-BE32-E72D297353CC}">
              <c16:uniqueId val="{00000000-A7BF-4480-9062-4FB98B94CD4A}"/>
            </c:ext>
          </c:extLst>
        </c:ser>
        <c:dLbls>
          <c:showLegendKey val="0"/>
          <c:showVal val="0"/>
          <c:showCatName val="0"/>
          <c:showSerName val="0"/>
          <c:showPercent val="0"/>
          <c:showBubbleSize val="0"/>
        </c:dLbls>
        <c:gapWidth val="60"/>
        <c:axId val="656013152"/>
        <c:axId val="1"/>
      </c:barChart>
      <c:catAx>
        <c:axId val="656013152"/>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51092192535762093"/>
              <c:y val="0.8913211231528225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AU"/>
                  <a:t>Real GDP per person (2023 prices)</a:t>
                </a:r>
              </a:p>
            </c:rich>
          </c:tx>
          <c:layout>
            <c:manualLayout>
              <c:xMode val="edge"/>
              <c:yMode val="edge"/>
              <c:x val="3.8461538461538464E-2"/>
              <c:y val="0.1378558095992924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60131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70691881911681"/>
          <c:y val="5.756935631138009E-2"/>
          <c:w val="0.77496098002997782"/>
          <c:h val="0.76926903450373418"/>
        </c:manualLayout>
      </c:layout>
      <c:barChart>
        <c:barDir val="col"/>
        <c:grouping val="clustered"/>
        <c:varyColors val="0"/>
        <c:ser>
          <c:idx val="0"/>
          <c:order val="0"/>
          <c:tx>
            <c:strRef>
              <c:f>'Water use'!$A$9</c:f>
              <c:strCache>
                <c:ptCount val="1"/>
                <c:pt idx="0">
                  <c:v>Allocated volume compared to primary allocable flow - Waikato River at mouth</c:v>
                </c:pt>
              </c:strCache>
            </c:strRef>
          </c:tx>
          <c:spPr>
            <a:solidFill>
              <a:srgbClr val="40B0FF"/>
            </a:solidFill>
            <a:ln w="25400">
              <a:noFill/>
            </a:ln>
          </c:spPr>
          <c:invertIfNegative val="0"/>
          <c:cat>
            <c:numRef>
              <c:f>'Water use'!$B$8:$R$8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'Water use'!$B$9:$R$9</c:f>
              <c:numCache>
                <c:formatCode>0</c:formatCode>
                <c:ptCount val="17"/>
                <c:pt idx="0">
                  <c:v>67.222753854332808</c:v>
                </c:pt>
                <c:pt idx="1">
                  <c:v>64.990962254120149</c:v>
                </c:pt>
                <c:pt idx="2">
                  <c:v>64.461456671983001</c:v>
                </c:pt>
                <c:pt idx="3">
                  <c:v>68.706007442849554</c:v>
                </c:pt>
                <c:pt idx="4">
                  <c:v>71.778309409888365</c:v>
                </c:pt>
                <c:pt idx="5">
                  <c:v>76.439659755449242</c:v>
                </c:pt>
                <c:pt idx="6">
                  <c:v>87.071238702817652</c:v>
                </c:pt>
                <c:pt idx="7">
                  <c:v>85.851674641148335</c:v>
                </c:pt>
                <c:pt idx="8">
                  <c:v>86.2</c:v>
                </c:pt>
                <c:pt idx="9">
                  <c:v>86.481658692185007</c:v>
                </c:pt>
                <c:pt idx="10">
                  <c:v>85.2</c:v>
                </c:pt>
                <c:pt idx="11">
                  <c:v>85.8</c:v>
                </c:pt>
                <c:pt idx="12">
                  <c:v>84.855382967327259</c:v>
                </c:pt>
                <c:pt idx="13">
                  <c:v>82.852169255490082</c:v>
                </c:pt>
                <c:pt idx="14">
                  <c:v>89.823781467595097</c:v>
                </c:pt>
                <c:pt idx="15">
                  <c:v>90.2019282271023</c:v>
                </c:pt>
                <c:pt idx="16">
                  <c:v>91.164434922335303</c:v>
                </c:pt>
              </c:numCache>
            </c:numRef>
          </c:val>
          <c:extLst>
            <c:ext xmlns:c16="http://schemas.microsoft.com/office/drawing/2014/chart" uri="{C3380CC4-5D6E-409C-BE32-E72D297353CC}">
              <c16:uniqueId val="{00000000-ACA8-423E-B547-5A1CDFEF0D5F}"/>
            </c:ext>
          </c:extLst>
        </c:ser>
        <c:dLbls>
          <c:showLegendKey val="0"/>
          <c:showVal val="0"/>
          <c:showCatName val="0"/>
          <c:showSerName val="0"/>
          <c:showPercent val="0"/>
          <c:showBubbleSize val="0"/>
        </c:dLbls>
        <c:gapWidth val="60"/>
        <c:axId val="650519320"/>
        <c:axId val="1"/>
      </c:barChart>
      <c:catAx>
        <c:axId val="650519320"/>
        <c:scaling>
          <c:orientation val="minMax"/>
        </c:scaling>
        <c:delete val="0"/>
        <c:axPos val="b"/>
        <c:title>
          <c:tx>
            <c:rich>
              <a:bodyPr/>
              <a:lstStyle/>
              <a:p>
                <a:pPr>
                  <a:defRPr sz="1125" b="0" i="0" u="none" strike="noStrike" baseline="0">
                    <a:solidFill>
                      <a:srgbClr val="000000"/>
                    </a:solidFill>
                    <a:latin typeface="Arial"/>
                    <a:ea typeface="Arial"/>
                    <a:cs typeface="Arial"/>
                  </a:defRPr>
                </a:pPr>
                <a:r>
                  <a:rPr lang="en-AU"/>
                  <a:t>Year</a:t>
                </a:r>
              </a:p>
            </c:rich>
          </c:tx>
          <c:layout>
            <c:manualLayout>
              <c:xMode val="edge"/>
              <c:yMode val="edge"/>
              <c:x val="0.49445358157488634"/>
              <c:y val="0.898604080069390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000000"/>
              </a:solidFill>
              <a:prstDash val="solid"/>
            </a:ln>
          </c:spPr>
        </c:majorGridlines>
        <c:title>
          <c:tx>
            <c:rich>
              <a:bodyPr/>
              <a:lstStyle/>
              <a:p>
                <a:pPr>
                  <a:defRPr sz="1025" b="0" i="0" u="none" strike="noStrike" baseline="0">
                    <a:solidFill>
                      <a:srgbClr val="000000"/>
                    </a:solidFill>
                    <a:latin typeface="Arial"/>
                    <a:ea typeface="Arial"/>
                    <a:cs typeface="Arial"/>
                  </a:defRPr>
                </a:pPr>
                <a:r>
                  <a:rPr lang="en-AU"/>
                  <a:t>Percent of primary allocable flow</a:t>
                </a:r>
              </a:p>
            </c:rich>
          </c:tx>
          <c:layout>
            <c:manualLayout>
              <c:xMode val="edge"/>
              <c:yMode val="edge"/>
              <c:x val="3.6450079239302692E-2"/>
              <c:y val="0.1471217599945929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25" b="0" i="0" u="none" strike="noStrike" baseline="0">
                <a:solidFill>
                  <a:srgbClr val="000000"/>
                </a:solidFill>
                <a:latin typeface="Arial"/>
                <a:ea typeface="Arial"/>
                <a:cs typeface="Arial"/>
              </a:defRPr>
            </a:pPr>
            <a:endParaRPr lang="en-US"/>
          </a:p>
        </c:txPr>
        <c:crossAx val="650519320"/>
        <c:crosses val="autoZero"/>
        <c:crossBetween val="between"/>
        <c:majorUnit val="25"/>
      </c:valAx>
      <c:spPr>
        <a:no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0020730722553"/>
          <c:y val="5.7939974873397762E-2"/>
          <c:w val="0.76015545680784646"/>
          <c:h val="0.77324817230464205"/>
        </c:manualLayout>
      </c:layout>
      <c:barChart>
        <c:barDir val="col"/>
        <c:grouping val="clustered"/>
        <c:varyColors val="0"/>
        <c:ser>
          <c:idx val="0"/>
          <c:order val="0"/>
          <c:tx>
            <c:strRef>
              <c:f>'Community engagement'!$A$9</c:f>
              <c:strCache>
                <c:ptCount val="1"/>
                <c:pt idx="0">
                  <c:v>Perception of public's influence on Council decision making - Some or large influence</c:v>
                </c:pt>
              </c:strCache>
            </c:strRef>
          </c:tx>
          <c:spPr>
            <a:solidFill>
              <a:srgbClr val="6B2E8F"/>
            </a:solidFill>
            <a:ln w="25400">
              <a:noFill/>
            </a:ln>
          </c:spPr>
          <c:invertIfNegative val="0"/>
          <c:cat>
            <c:numRef>
              <c:f>'Community engagement'!$B$8:$F$8</c:f>
              <c:numCache>
                <c:formatCode>General</c:formatCode>
                <c:ptCount val="5"/>
                <c:pt idx="0">
                  <c:v>2006</c:v>
                </c:pt>
                <c:pt idx="1">
                  <c:v>2016</c:v>
                </c:pt>
                <c:pt idx="2">
                  <c:v>2018</c:v>
                </c:pt>
                <c:pt idx="3">
                  <c:v>2020</c:v>
                </c:pt>
                <c:pt idx="4">
                  <c:v>2022</c:v>
                </c:pt>
              </c:numCache>
            </c:numRef>
          </c:cat>
          <c:val>
            <c:numRef>
              <c:f>'Community engagement'!$B$9:$F$9</c:f>
              <c:numCache>
                <c:formatCode>0</c:formatCode>
                <c:ptCount val="5"/>
                <c:pt idx="0">
                  <c:v>62</c:v>
                </c:pt>
                <c:pt idx="1">
                  <c:v>46</c:v>
                </c:pt>
                <c:pt idx="2">
                  <c:v>36</c:v>
                </c:pt>
                <c:pt idx="3">
                  <c:v>37</c:v>
                </c:pt>
                <c:pt idx="4">
                  <c:v>31</c:v>
                </c:pt>
              </c:numCache>
            </c:numRef>
          </c:val>
          <c:extLst>
            <c:ext xmlns:c16="http://schemas.microsoft.com/office/drawing/2014/chart" uri="{C3380CC4-5D6E-409C-BE32-E72D297353CC}">
              <c16:uniqueId val="{00000000-2D8E-489E-99EC-93AF3FD1448A}"/>
            </c:ext>
          </c:extLst>
        </c:ser>
        <c:dLbls>
          <c:showLegendKey val="0"/>
          <c:showVal val="0"/>
          <c:showCatName val="0"/>
          <c:showSerName val="0"/>
          <c:showPercent val="0"/>
          <c:showBubbleSize val="0"/>
        </c:dLbls>
        <c:gapWidth val="60"/>
        <c:axId val="653170128"/>
        <c:axId val="1"/>
      </c:barChart>
      <c:catAx>
        <c:axId val="653170128"/>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8206368676277273"/>
              <c:y val="0.900573147240715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Perception of public's influence on Council decision making - Some or large influence</a:t>
                </a:r>
              </a:p>
            </c:rich>
          </c:tx>
          <c:layout>
            <c:manualLayout>
              <c:xMode val="edge"/>
              <c:yMode val="edge"/>
              <c:x val="2.9013483867280407E-2"/>
              <c:y val="7.5722348011219631E-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653170128"/>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13</xdr:row>
      <xdr:rowOff>404812</xdr:rowOff>
    </xdr:from>
    <xdr:to>
      <xdr:col>2</xdr:col>
      <xdr:colOff>2610527</xdr:colOff>
      <xdr:row>14</xdr:row>
      <xdr:rowOff>857249</xdr:rowOff>
    </xdr:to>
    <xdr:pic>
      <xdr:nvPicPr>
        <xdr:cNvPr id="9" name="Picture 8">
          <a:extLst>
            <a:ext uri="{FF2B5EF4-FFF2-40B4-BE49-F238E27FC236}">
              <a16:creationId xmlns:a16="http://schemas.microsoft.com/office/drawing/2014/main" id="{227DC92B-A9C4-498F-81CA-9F7E40822415}"/>
            </a:ext>
          </a:extLst>
        </xdr:cNvPr>
        <xdr:cNvPicPr/>
      </xdr:nvPicPr>
      <xdr:blipFill rotWithShape="1">
        <a:blip xmlns:r="http://schemas.openxmlformats.org/officeDocument/2006/relationships" r:embed="rId1">
          <a:extLst>
            <a:ext uri="{28A0092B-C50C-407E-A947-70E740481C1C}">
              <a14:useLocalDpi xmlns:a14="http://schemas.microsoft.com/office/drawing/2010/main"/>
            </a:ext>
          </a:extLst>
        </a:blip>
        <a:srcRect/>
        <a:stretch/>
      </xdr:blipFill>
      <xdr:spPr bwMode="auto">
        <a:xfrm>
          <a:off x="333374" y="5048250"/>
          <a:ext cx="3801153" cy="88106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47624</xdr:colOff>
      <xdr:row>16</xdr:row>
      <xdr:rowOff>404811</xdr:rowOff>
    </xdr:from>
    <xdr:to>
      <xdr:col>2</xdr:col>
      <xdr:colOff>2570902</xdr:colOff>
      <xdr:row>17</xdr:row>
      <xdr:rowOff>857249</xdr:rowOff>
    </xdr:to>
    <xdr:pic>
      <xdr:nvPicPr>
        <xdr:cNvPr id="10" name="Picture 9">
          <a:extLst>
            <a:ext uri="{FF2B5EF4-FFF2-40B4-BE49-F238E27FC236}">
              <a16:creationId xmlns:a16="http://schemas.microsoft.com/office/drawing/2014/main" id="{2AE90294-96D8-4A55-B944-F89FE6BD7DA2}"/>
            </a:ext>
          </a:extLst>
        </xdr:cNvPr>
        <xdr:cNvPicPr/>
      </xdr:nvPicPr>
      <xdr:blipFill rotWithShape="1">
        <a:blip xmlns:r="http://schemas.openxmlformats.org/officeDocument/2006/relationships" r:embed="rId2">
          <a:extLst>
            <a:ext uri="{28A0092B-C50C-407E-A947-70E740481C1C}">
              <a14:useLocalDpi xmlns:a14="http://schemas.microsoft.com/office/drawing/2010/main"/>
            </a:ext>
          </a:extLst>
        </a:blip>
        <a:srcRect/>
        <a:stretch/>
      </xdr:blipFill>
      <xdr:spPr bwMode="auto">
        <a:xfrm>
          <a:off x="285749" y="7381874"/>
          <a:ext cx="3820583" cy="9048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71438</xdr:colOff>
      <xdr:row>23</xdr:row>
      <xdr:rowOff>428625</xdr:rowOff>
    </xdr:from>
    <xdr:to>
      <xdr:col>2</xdr:col>
      <xdr:colOff>2610733</xdr:colOff>
      <xdr:row>24</xdr:row>
      <xdr:rowOff>857249</xdr:rowOff>
    </xdr:to>
    <xdr:pic>
      <xdr:nvPicPr>
        <xdr:cNvPr id="11" name="Picture 10">
          <a:extLst>
            <a:ext uri="{FF2B5EF4-FFF2-40B4-BE49-F238E27FC236}">
              <a16:creationId xmlns:a16="http://schemas.microsoft.com/office/drawing/2014/main" id="{AB869289-A714-4BDD-8EFC-EA22EC04AD6E}"/>
            </a:ext>
          </a:extLst>
        </xdr:cNvPr>
        <xdr:cNvPicPr/>
      </xdr:nvPicPr>
      <xdr:blipFill rotWithShape="1">
        <a:blip xmlns:r="http://schemas.openxmlformats.org/officeDocument/2006/relationships" r:embed="rId3">
          <a:extLst>
            <a:ext uri="{28A0092B-C50C-407E-A947-70E740481C1C}">
              <a14:useLocalDpi xmlns:a14="http://schemas.microsoft.com/office/drawing/2010/main"/>
            </a:ext>
          </a:extLst>
        </a:blip>
        <a:srcRect/>
        <a:stretch/>
      </xdr:blipFill>
      <xdr:spPr bwMode="auto">
        <a:xfrm>
          <a:off x="309563" y="13573125"/>
          <a:ext cx="3813740" cy="88106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12</xdr:row>
      <xdr:rowOff>0</xdr:rowOff>
    </xdr:from>
    <xdr:to>
      <xdr:col>9</xdr:col>
      <xdr:colOff>85725</xdr:colOff>
      <xdr:row>39</xdr:row>
      <xdr:rowOff>9525</xdr:rowOff>
    </xdr:to>
    <xdr:graphicFrame macro="">
      <xdr:nvGraphicFramePr>
        <xdr:cNvPr id="18242914" name="Chart 4">
          <a:extLst>
            <a:ext uri="{FF2B5EF4-FFF2-40B4-BE49-F238E27FC236}">
              <a16:creationId xmlns:a16="http://schemas.microsoft.com/office/drawing/2014/main" id="{59929643-0918-4BEE-A1DF-98E73A4A2E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133350</xdr:colOff>
      <xdr:row>9</xdr:row>
      <xdr:rowOff>76200</xdr:rowOff>
    </xdr:from>
    <xdr:to>
      <xdr:col>11</xdr:col>
      <xdr:colOff>304800</xdr:colOff>
      <xdr:row>35</xdr:row>
      <xdr:rowOff>28575</xdr:rowOff>
    </xdr:to>
    <xdr:graphicFrame macro="">
      <xdr:nvGraphicFramePr>
        <xdr:cNvPr id="5952" name="Chart 4">
          <a:extLst>
            <a:ext uri="{FF2B5EF4-FFF2-40B4-BE49-F238E27FC236}">
              <a16:creationId xmlns:a16="http://schemas.microsoft.com/office/drawing/2014/main" id="{799E64A9-477D-4010-AF62-760C875A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495300</xdr:colOff>
      <xdr:row>10</xdr:row>
      <xdr:rowOff>19050</xdr:rowOff>
    </xdr:from>
    <xdr:to>
      <xdr:col>8</xdr:col>
      <xdr:colOff>800100</xdr:colOff>
      <xdr:row>36</xdr:row>
      <xdr:rowOff>142875</xdr:rowOff>
    </xdr:to>
    <xdr:graphicFrame macro="">
      <xdr:nvGraphicFramePr>
        <xdr:cNvPr id="34630" name="Chart 10">
          <a:extLst>
            <a:ext uri="{FF2B5EF4-FFF2-40B4-BE49-F238E27FC236}">
              <a16:creationId xmlns:a16="http://schemas.microsoft.com/office/drawing/2014/main" id="{97F9BCE1-0DFF-4B05-8F5C-83CCDC016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3448050</xdr:colOff>
      <xdr:row>10</xdr:row>
      <xdr:rowOff>133350</xdr:rowOff>
    </xdr:from>
    <xdr:to>
      <xdr:col>11</xdr:col>
      <xdr:colOff>523875</xdr:colOff>
      <xdr:row>37</xdr:row>
      <xdr:rowOff>142875</xdr:rowOff>
    </xdr:to>
    <xdr:graphicFrame macro="">
      <xdr:nvGraphicFramePr>
        <xdr:cNvPr id="35648" name="Chart 4">
          <a:extLst>
            <a:ext uri="{FF2B5EF4-FFF2-40B4-BE49-F238E27FC236}">
              <a16:creationId xmlns:a16="http://schemas.microsoft.com/office/drawing/2014/main" id="{596D1E3E-1867-4E7C-841B-696B3BE62A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85725</xdr:colOff>
      <xdr:row>11</xdr:row>
      <xdr:rowOff>114300</xdr:rowOff>
    </xdr:from>
    <xdr:to>
      <xdr:col>12</xdr:col>
      <xdr:colOff>133350</xdr:colOff>
      <xdr:row>38</xdr:row>
      <xdr:rowOff>57150</xdr:rowOff>
    </xdr:to>
    <xdr:graphicFrame macro="">
      <xdr:nvGraphicFramePr>
        <xdr:cNvPr id="49030" name="Chart 10">
          <a:extLst>
            <a:ext uri="{FF2B5EF4-FFF2-40B4-BE49-F238E27FC236}">
              <a16:creationId xmlns:a16="http://schemas.microsoft.com/office/drawing/2014/main" id="{72EEE3BE-ABDE-4FDE-81B7-668F293C91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28575</xdr:colOff>
      <xdr:row>10</xdr:row>
      <xdr:rowOff>19050</xdr:rowOff>
    </xdr:from>
    <xdr:to>
      <xdr:col>11</xdr:col>
      <xdr:colOff>76200</xdr:colOff>
      <xdr:row>37</xdr:row>
      <xdr:rowOff>28575</xdr:rowOff>
    </xdr:to>
    <xdr:graphicFrame macro="">
      <xdr:nvGraphicFramePr>
        <xdr:cNvPr id="42815" name="Chart 3">
          <a:extLst>
            <a:ext uri="{FF2B5EF4-FFF2-40B4-BE49-F238E27FC236}">
              <a16:creationId xmlns:a16="http://schemas.microsoft.com/office/drawing/2014/main" id="{E146C8D4-B0B8-40B0-8096-16CB7AF42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148590</xdr:colOff>
      <xdr:row>12</xdr:row>
      <xdr:rowOff>106680</xdr:rowOff>
    </xdr:from>
    <xdr:to>
      <xdr:col>7</xdr:col>
      <xdr:colOff>186690</xdr:colOff>
      <xdr:row>35</xdr:row>
      <xdr:rowOff>34290</xdr:rowOff>
    </xdr:to>
    <xdr:graphicFrame macro="">
      <xdr:nvGraphicFramePr>
        <xdr:cNvPr id="1857" name="Chart 5">
          <a:extLst>
            <a:ext uri="{FF2B5EF4-FFF2-40B4-BE49-F238E27FC236}">
              <a16:creationId xmlns:a16="http://schemas.microsoft.com/office/drawing/2014/main" id="{6D630CDC-1743-4D58-8EA9-AAA79A65F6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47625</xdr:colOff>
      <xdr:row>9</xdr:row>
      <xdr:rowOff>104776</xdr:rowOff>
    </xdr:from>
    <xdr:to>
      <xdr:col>10</xdr:col>
      <xdr:colOff>285750</xdr:colOff>
      <xdr:row>35</xdr:row>
      <xdr:rowOff>28576</xdr:rowOff>
    </xdr:to>
    <xdr:graphicFrame macro="">
      <xdr:nvGraphicFramePr>
        <xdr:cNvPr id="43839" name="Chart 3">
          <a:extLst>
            <a:ext uri="{FF2B5EF4-FFF2-40B4-BE49-F238E27FC236}">
              <a16:creationId xmlns:a16="http://schemas.microsoft.com/office/drawing/2014/main" id="{82923FA4-7D1B-45DF-A702-4FA9EBDCA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600075</xdr:colOff>
      <xdr:row>10</xdr:row>
      <xdr:rowOff>142874</xdr:rowOff>
    </xdr:from>
    <xdr:to>
      <xdr:col>7</xdr:col>
      <xdr:colOff>104775</xdr:colOff>
      <xdr:row>37</xdr:row>
      <xdr:rowOff>85724</xdr:rowOff>
    </xdr:to>
    <xdr:graphicFrame macro="">
      <xdr:nvGraphicFramePr>
        <xdr:cNvPr id="41793" name="Chart 4">
          <a:extLst>
            <a:ext uri="{FF2B5EF4-FFF2-40B4-BE49-F238E27FC236}">
              <a16:creationId xmlns:a16="http://schemas.microsoft.com/office/drawing/2014/main" id="{36E5FC3D-4D58-46DB-98A2-E66F193D9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361950</xdr:colOff>
      <xdr:row>13</xdr:row>
      <xdr:rowOff>28575</xdr:rowOff>
    </xdr:from>
    <xdr:to>
      <xdr:col>13</xdr:col>
      <xdr:colOff>276225</xdr:colOff>
      <xdr:row>40</xdr:row>
      <xdr:rowOff>76200</xdr:rowOff>
    </xdr:to>
    <xdr:graphicFrame macro="">
      <xdr:nvGraphicFramePr>
        <xdr:cNvPr id="4930" name="Chart 6">
          <a:extLst>
            <a:ext uri="{FF2B5EF4-FFF2-40B4-BE49-F238E27FC236}">
              <a16:creationId xmlns:a16="http://schemas.microsoft.com/office/drawing/2014/main" id="{0E250912-1BA9-4B8C-8DB9-9644796B68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12</xdr:row>
      <xdr:rowOff>0</xdr:rowOff>
    </xdr:from>
    <xdr:to>
      <xdr:col>3</xdr:col>
      <xdr:colOff>0</xdr:colOff>
      <xdr:row>13</xdr:row>
      <xdr:rowOff>0</xdr:rowOff>
    </xdr:to>
    <xdr:graphicFrame macro="">
      <xdr:nvGraphicFramePr>
        <xdr:cNvPr id="4" name="Chart 1">
          <a:extLst>
            <a:ext uri="{FF2B5EF4-FFF2-40B4-BE49-F238E27FC236}">
              <a16:creationId xmlns:a16="http://schemas.microsoft.com/office/drawing/2014/main" id="{87945393-97B0-4685-ACDD-A1EB4C440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2</xdr:col>
      <xdr:colOff>2849880</xdr:colOff>
      <xdr:row>15</xdr:row>
      <xdr:rowOff>0</xdr:rowOff>
    </xdr:to>
    <xdr:graphicFrame macro="">
      <xdr:nvGraphicFramePr>
        <xdr:cNvPr id="2" name="Chart 1">
          <a:extLst>
            <a:ext uri="{FF2B5EF4-FFF2-40B4-BE49-F238E27FC236}">
              <a16:creationId xmlns:a16="http://schemas.microsoft.com/office/drawing/2014/main" id="{406C17C9-ECE9-4639-A65A-CF339E5527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16</xdr:row>
      <xdr:rowOff>0</xdr:rowOff>
    </xdr:from>
    <xdr:to>
      <xdr:col>2</xdr:col>
      <xdr:colOff>2842260</xdr:colOff>
      <xdr:row>17</xdr:row>
      <xdr:rowOff>0</xdr:rowOff>
    </xdr:to>
    <xdr:graphicFrame macro="">
      <xdr:nvGraphicFramePr>
        <xdr:cNvPr id="3" name="Chart 1">
          <a:extLst>
            <a:ext uri="{FF2B5EF4-FFF2-40B4-BE49-F238E27FC236}">
              <a16:creationId xmlns:a16="http://schemas.microsoft.com/office/drawing/2014/main" id="{93EB6B7C-CBB6-4A5E-8DB4-EB6F6AEF3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123825</xdr:colOff>
      <xdr:row>10</xdr:row>
      <xdr:rowOff>9525</xdr:rowOff>
    </xdr:from>
    <xdr:to>
      <xdr:col>9</xdr:col>
      <xdr:colOff>238125</xdr:colOff>
      <xdr:row>36</xdr:row>
      <xdr:rowOff>28575</xdr:rowOff>
    </xdr:to>
    <xdr:graphicFrame macro="">
      <xdr:nvGraphicFramePr>
        <xdr:cNvPr id="46913" name="Chart 3">
          <a:extLst>
            <a:ext uri="{FF2B5EF4-FFF2-40B4-BE49-F238E27FC236}">
              <a16:creationId xmlns:a16="http://schemas.microsoft.com/office/drawing/2014/main" id="{E9A89B7F-D6B2-4B10-88DE-5621C8385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114300</xdr:colOff>
      <xdr:row>9</xdr:row>
      <xdr:rowOff>133350</xdr:rowOff>
    </xdr:from>
    <xdr:to>
      <xdr:col>11</xdr:col>
      <xdr:colOff>9525</xdr:colOff>
      <xdr:row>36</xdr:row>
      <xdr:rowOff>152400</xdr:rowOff>
    </xdr:to>
    <xdr:graphicFrame macro="">
      <xdr:nvGraphicFramePr>
        <xdr:cNvPr id="57150" name="Chart 2">
          <a:extLst>
            <a:ext uri="{FF2B5EF4-FFF2-40B4-BE49-F238E27FC236}">
              <a16:creationId xmlns:a16="http://schemas.microsoft.com/office/drawing/2014/main" id="{BBDCE6FB-B5FF-4028-8D8B-4160BAD4D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514350</xdr:colOff>
      <xdr:row>6</xdr:row>
      <xdr:rowOff>152400</xdr:rowOff>
    </xdr:from>
    <xdr:to>
      <xdr:col>16</xdr:col>
      <xdr:colOff>95250</xdr:colOff>
      <xdr:row>30</xdr:row>
      <xdr:rowOff>76200</xdr:rowOff>
    </xdr:to>
    <xdr:graphicFrame macro="">
      <xdr:nvGraphicFramePr>
        <xdr:cNvPr id="2881" name="Chart 5">
          <a:extLst>
            <a:ext uri="{FF2B5EF4-FFF2-40B4-BE49-F238E27FC236}">
              <a16:creationId xmlns:a16="http://schemas.microsoft.com/office/drawing/2014/main" id="{05A6BBE9-229F-405B-9822-14BDF9F73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95250</xdr:colOff>
      <xdr:row>9</xdr:row>
      <xdr:rowOff>76200</xdr:rowOff>
    </xdr:from>
    <xdr:to>
      <xdr:col>11</xdr:col>
      <xdr:colOff>381000</xdr:colOff>
      <xdr:row>36</xdr:row>
      <xdr:rowOff>66675</xdr:rowOff>
    </xdr:to>
    <xdr:graphicFrame macro="">
      <xdr:nvGraphicFramePr>
        <xdr:cNvPr id="6977" name="Chart 5">
          <a:extLst>
            <a:ext uri="{FF2B5EF4-FFF2-40B4-BE49-F238E27FC236}">
              <a16:creationId xmlns:a16="http://schemas.microsoft.com/office/drawing/2014/main" id="{59AE3B03-541A-44AE-9B13-B926319CF7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4210050</xdr:colOff>
      <xdr:row>10</xdr:row>
      <xdr:rowOff>85725</xdr:rowOff>
    </xdr:from>
    <xdr:to>
      <xdr:col>11</xdr:col>
      <xdr:colOff>457200</xdr:colOff>
      <xdr:row>36</xdr:row>
      <xdr:rowOff>57150</xdr:rowOff>
    </xdr:to>
    <xdr:graphicFrame macro="">
      <xdr:nvGraphicFramePr>
        <xdr:cNvPr id="30954500" name="Chart 1046">
          <a:extLst>
            <a:ext uri="{FF2B5EF4-FFF2-40B4-BE49-F238E27FC236}">
              <a16:creationId xmlns:a16="http://schemas.microsoft.com/office/drawing/2014/main" id="{1BE71F9A-1780-477E-99E7-BBDEFF0DF5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91440</xdr:colOff>
      <xdr:row>10</xdr:row>
      <xdr:rowOff>11430</xdr:rowOff>
    </xdr:from>
    <xdr:to>
      <xdr:col>9</xdr:col>
      <xdr:colOff>609600</xdr:colOff>
      <xdr:row>37</xdr:row>
      <xdr:rowOff>140970</xdr:rowOff>
    </xdr:to>
    <xdr:grpSp>
      <xdr:nvGrpSpPr>
        <xdr:cNvPr id="3" name="Group 2">
          <a:extLst>
            <a:ext uri="{FF2B5EF4-FFF2-40B4-BE49-F238E27FC236}">
              <a16:creationId xmlns:a16="http://schemas.microsoft.com/office/drawing/2014/main" id="{B57B7462-0FD9-ECA2-8FC6-B8ED1DCAB11F}"/>
            </a:ext>
          </a:extLst>
        </xdr:cNvPr>
        <xdr:cNvGrpSpPr/>
      </xdr:nvGrpSpPr>
      <xdr:grpSpPr>
        <a:xfrm>
          <a:off x="1782127" y="1725930"/>
          <a:ext cx="6609398" cy="4501515"/>
          <a:chOff x="1666875" y="1695450"/>
          <a:chExt cx="6048375" cy="4505325"/>
        </a:xfrm>
      </xdr:grpSpPr>
      <xdr:graphicFrame macro="">
        <xdr:nvGraphicFramePr>
          <xdr:cNvPr id="22342" name="Chart 1033">
            <a:extLst>
              <a:ext uri="{FF2B5EF4-FFF2-40B4-BE49-F238E27FC236}">
                <a16:creationId xmlns:a16="http://schemas.microsoft.com/office/drawing/2014/main" id="{DF6D6EA1-C01C-4659-B393-D188C6F81E7C}"/>
              </a:ext>
            </a:extLst>
          </xdr:cNvPr>
          <xdr:cNvGraphicFramePr>
            <a:graphicFrameLocks/>
          </xdr:cNvGraphicFramePr>
        </xdr:nvGraphicFramePr>
        <xdr:xfrm>
          <a:off x="1666875" y="1695450"/>
          <a:ext cx="6048375" cy="45053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1">
            <a:extLst>
              <a:ext uri="{FF2B5EF4-FFF2-40B4-BE49-F238E27FC236}">
                <a16:creationId xmlns:a16="http://schemas.microsoft.com/office/drawing/2014/main" id="{64E47428-6308-2B83-74FE-A9DA5C28614A}"/>
              </a:ext>
            </a:extLst>
          </xdr:cNvPr>
          <xdr:cNvSpPr txBox="1"/>
        </xdr:nvSpPr>
        <xdr:spPr>
          <a:xfrm rot="16200000">
            <a:off x="5490098" y="3735127"/>
            <a:ext cx="1709297" cy="2491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Roll-out of new monitors</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152400</xdr:colOff>
      <xdr:row>10</xdr:row>
      <xdr:rowOff>104775</xdr:rowOff>
    </xdr:from>
    <xdr:to>
      <xdr:col>9</xdr:col>
      <xdr:colOff>342900</xdr:colOff>
      <xdr:row>34</xdr:row>
      <xdr:rowOff>19050</xdr:rowOff>
    </xdr:to>
    <xdr:graphicFrame macro="">
      <xdr:nvGraphicFramePr>
        <xdr:cNvPr id="54078" name="Chart 2">
          <a:extLst>
            <a:ext uri="{FF2B5EF4-FFF2-40B4-BE49-F238E27FC236}">
              <a16:creationId xmlns:a16="http://schemas.microsoft.com/office/drawing/2014/main" id="{CA132DA3-3F62-4998-A48A-AD799BD089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57150</xdr:colOff>
      <xdr:row>10</xdr:row>
      <xdr:rowOff>142875</xdr:rowOff>
    </xdr:from>
    <xdr:to>
      <xdr:col>10</xdr:col>
      <xdr:colOff>590550</xdr:colOff>
      <xdr:row>35</xdr:row>
      <xdr:rowOff>57150</xdr:rowOff>
    </xdr:to>
    <xdr:graphicFrame macro="">
      <xdr:nvGraphicFramePr>
        <xdr:cNvPr id="16193" name="Chart 1029">
          <a:extLst>
            <a:ext uri="{FF2B5EF4-FFF2-40B4-BE49-F238E27FC236}">
              <a16:creationId xmlns:a16="http://schemas.microsoft.com/office/drawing/2014/main" id="{6CFB0C7F-C7D2-4B57-99E0-72EFEAB20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3448050</xdr:colOff>
      <xdr:row>9</xdr:row>
      <xdr:rowOff>85725</xdr:rowOff>
    </xdr:from>
    <xdr:to>
      <xdr:col>13</xdr:col>
      <xdr:colOff>457200</xdr:colOff>
      <xdr:row>37</xdr:row>
      <xdr:rowOff>66675</xdr:rowOff>
    </xdr:to>
    <xdr:graphicFrame macro="">
      <xdr:nvGraphicFramePr>
        <xdr:cNvPr id="3" name="Chart 4">
          <a:extLst>
            <a:ext uri="{FF2B5EF4-FFF2-40B4-BE49-F238E27FC236}">
              <a16:creationId xmlns:a16="http://schemas.microsoft.com/office/drawing/2014/main" id="{A20D2AC3-AC6A-4EA0-BFA1-8C5CF7B62C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14</xdr:row>
      <xdr:rowOff>0</xdr:rowOff>
    </xdr:from>
    <xdr:to>
      <xdr:col>8</xdr:col>
      <xdr:colOff>142875</xdr:colOff>
      <xdr:row>30</xdr:row>
      <xdr:rowOff>152400</xdr:rowOff>
    </xdr:to>
    <xdr:graphicFrame macro="">
      <xdr:nvGraphicFramePr>
        <xdr:cNvPr id="3" name="Chart 2">
          <a:extLst>
            <a:ext uri="{FF2B5EF4-FFF2-40B4-BE49-F238E27FC236}">
              <a16:creationId xmlns:a16="http://schemas.microsoft.com/office/drawing/2014/main" id="{5B9FB82B-1526-4BEC-B9FD-408D7777C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10</xdr:row>
      <xdr:rowOff>76200</xdr:rowOff>
    </xdr:from>
    <xdr:to>
      <xdr:col>10</xdr:col>
      <xdr:colOff>352425</xdr:colOff>
      <xdr:row>37</xdr:row>
      <xdr:rowOff>47625</xdr:rowOff>
    </xdr:to>
    <xdr:graphicFrame macro="">
      <xdr:nvGraphicFramePr>
        <xdr:cNvPr id="11075" name="Chart 7">
          <a:extLst>
            <a:ext uri="{FF2B5EF4-FFF2-40B4-BE49-F238E27FC236}">
              <a16:creationId xmlns:a16="http://schemas.microsoft.com/office/drawing/2014/main" id="{D8E973A8-CE02-4F84-A37B-01EB6EC4AD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47625</xdr:colOff>
      <xdr:row>9</xdr:row>
      <xdr:rowOff>66675</xdr:rowOff>
    </xdr:from>
    <xdr:to>
      <xdr:col>7</xdr:col>
      <xdr:colOff>704850</xdr:colOff>
      <xdr:row>33</xdr:row>
      <xdr:rowOff>76200</xdr:rowOff>
    </xdr:to>
    <xdr:graphicFrame macro="">
      <xdr:nvGraphicFramePr>
        <xdr:cNvPr id="29504" name="Chart 4">
          <a:extLst>
            <a:ext uri="{FF2B5EF4-FFF2-40B4-BE49-F238E27FC236}">
              <a16:creationId xmlns:a16="http://schemas.microsoft.com/office/drawing/2014/main" id="{EB90240F-BB2D-4332-AC55-3717BDC2CB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485775</xdr:colOff>
      <xdr:row>5</xdr:row>
      <xdr:rowOff>9525</xdr:rowOff>
    </xdr:from>
    <xdr:to>
      <xdr:col>16</xdr:col>
      <xdr:colOff>238125</xdr:colOff>
      <xdr:row>27</xdr:row>
      <xdr:rowOff>28575</xdr:rowOff>
    </xdr:to>
    <xdr:graphicFrame macro="">
      <xdr:nvGraphicFramePr>
        <xdr:cNvPr id="21385" name="Chart 1030">
          <a:extLst>
            <a:ext uri="{FF2B5EF4-FFF2-40B4-BE49-F238E27FC236}">
              <a16:creationId xmlns:a16="http://schemas.microsoft.com/office/drawing/2014/main" id="{11BB4D31-926D-4B5E-AB81-49040E23B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161925</xdr:colOff>
      <xdr:row>9</xdr:row>
      <xdr:rowOff>152400</xdr:rowOff>
    </xdr:from>
    <xdr:to>
      <xdr:col>13</xdr:col>
      <xdr:colOff>476250</xdr:colOff>
      <xdr:row>39</xdr:row>
      <xdr:rowOff>66675</xdr:rowOff>
    </xdr:to>
    <xdr:graphicFrame macro="">
      <xdr:nvGraphicFramePr>
        <xdr:cNvPr id="36747" name="Chart 7">
          <a:extLst>
            <a:ext uri="{FF2B5EF4-FFF2-40B4-BE49-F238E27FC236}">
              <a16:creationId xmlns:a16="http://schemas.microsoft.com/office/drawing/2014/main" id="{74FBADB3-4A7F-4AD4-8017-EE588AE51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85725</xdr:colOff>
      <xdr:row>11</xdr:row>
      <xdr:rowOff>9525</xdr:rowOff>
    </xdr:from>
    <xdr:to>
      <xdr:col>4</xdr:col>
      <xdr:colOff>1276350</xdr:colOff>
      <xdr:row>33</xdr:row>
      <xdr:rowOff>114300</xdr:rowOff>
    </xdr:to>
    <xdr:graphicFrame macro="">
      <xdr:nvGraphicFramePr>
        <xdr:cNvPr id="28633" name="Chart 5">
          <a:extLst>
            <a:ext uri="{FF2B5EF4-FFF2-40B4-BE49-F238E27FC236}">
              <a16:creationId xmlns:a16="http://schemas.microsoft.com/office/drawing/2014/main" id="{7DCC0D5C-4712-4A7F-A0DC-22C013B486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3</xdr:col>
      <xdr:colOff>228600</xdr:colOff>
      <xdr:row>48</xdr:row>
      <xdr:rowOff>152400</xdr:rowOff>
    </xdr:from>
    <xdr:to>
      <xdr:col>9</xdr:col>
      <xdr:colOff>1200150</xdr:colOff>
      <xdr:row>81</xdr:row>
      <xdr:rowOff>19050</xdr:rowOff>
    </xdr:to>
    <xdr:graphicFrame macro="">
      <xdr:nvGraphicFramePr>
        <xdr:cNvPr id="40786" name="Chart 1">
          <a:extLst>
            <a:ext uri="{FF2B5EF4-FFF2-40B4-BE49-F238E27FC236}">
              <a16:creationId xmlns:a16="http://schemas.microsoft.com/office/drawing/2014/main" id="{A7874203-B0AB-4761-9B8A-52423278E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1428750</xdr:colOff>
      <xdr:row>10</xdr:row>
      <xdr:rowOff>9525</xdr:rowOff>
    </xdr:from>
    <xdr:to>
      <xdr:col>12</xdr:col>
      <xdr:colOff>466725</xdr:colOff>
      <xdr:row>34</xdr:row>
      <xdr:rowOff>142875</xdr:rowOff>
    </xdr:to>
    <xdr:graphicFrame macro="">
      <xdr:nvGraphicFramePr>
        <xdr:cNvPr id="25456787" name="Chart 1">
          <a:extLst>
            <a:ext uri="{FF2B5EF4-FFF2-40B4-BE49-F238E27FC236}">
              <a16:creationId xmlns:a16="http://schemas.microsoft.com/office/drawing/2014/main" id="{F3D11504-8280-4CF0-AAD2-42BC70ADE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219075</xdr:colOff>
      <xdr:row>9</xdr:row>
      <xdr:rowOff>142876</xdr:rowOff>
    </xdr:from>
    <xdr:to>
      <xdr:col>10</xdr:col>
      <xdr:colOff>457200</xdr:colOff>
      <xdr:row>34</xdr:row>
      <xdr:rowOff>152401</xdr:rowOff>
    </xdr:to>
    <xdr:graphicFrame macro="">
      <xdr:nvGraphicFramePr>
        <xdr:cNvPr id="45887" name="Chart 3">
          <a:extLst>
            <a:ext uri="{FF2B5EF4-FFF2-40B4-BE49-F238E27FC236}">
              <a16:creationId xmlns:a16="http://schemas.microsoft.com/office/drawing/2014/main" id="{000979EB-9CC7-42DC-B241-E715290B9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10</xdr:row>
      <xdr:rowOff>123825</xdr:rowOff>
    </xdr:from>
    <xdr:to>
      <xdr:col>12</xdr:col>
      <xdr:colOff>123825</xdr:colOff>
      <xdr:row>36</xdr:row>
      <xdr:rowOff>19050</xdr:rowOff>
    </xdr:to>
    <xdr:graphicFrame macro="">
      <xdr:nvGraphicFramePr>
        <xdr:cNvPr id="10113" name="Chart 6">
          <a:extLst>
            <a:ext uri="{FF2B5EF4-FFF2-40B4-BE49-F238E27FC236}">
              <a16:creationId xmlns:a16="http://schemas.microsoft.com/office/drawing/2014/main" id="{BC673635-8115-426D-A2E3-5D826ED514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104775</xdr:colOff>
      <xdr:row>9</xdr:row>
      <xdr:rowOff>104775</xdr:rowOff>
    </xdr:from>
    <xdr:to>
      <xdr:col>12</xdr:col>
      <xdr:colOff>85725</xdr:colOff>
      <xdr:row>36</xdr:row>
      <xdr:rowOff>85725</xdr:rowOff>
    </xdr:to>
    <xdr:graphicFrame macro="">
      <xdr:nvGraphicFramePr>
        <xdr:cNvPr id="24624300" name="Chart 57">
          <a:extLst>
            <a:ext uri="{FF2B5EF4-FFF2-40B4-BE49-F238E27FC236}">
              <a16:creationId xmlns:a16="http://schemas.microsoft.com/office/drawing/2014/main" id="{3DF51BBB-B622-4BE4-9B24-522AD86E7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66675</xdr:colOff>
      <xdr:row>9</xdr:row>
      <xdr:rowOff>133350</xdr:rowOff>
    </xdr:from>
    <xdr:to>
      <xdr:col>10</xdr:col>
      <xdr:colOff>590550</xdr:colOff>
      <xdr:row>34</xdr:row>
      <xdr:rowOff>123825</xdr:rowOff>
    </xdr:to>
    <xdr:graphicFrame macro="">
      <xdr:nvGraphicFramePr>
        <xdr:cNvPr id="47943" name="Chart 3">
          <a:extLst>
            <a:ext uri="{FF2B5EF4-FFF2-40B4-BE49-F238E27FC236}">
              <a16:creationId xmlns:a16="http://schemas.microsoft.com/office/drawing/2014/main" id="{E1D0ADA7-6531-45FA-95AD-B024EDB07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9</xdr:row>
      <xdr:rowOff>104775</xdr:rowOff>
    </xdr:from>
    <xdr:to>
      <xdr:col>10</xdr:col>
      <xdr:colOff>257175</xdr:colOff>
      <xdr:row>33</xdr:row>
      <xdr:rowOff>85725</xdr:rowOff>
    </xdr:to>
    <xdr:graphicFrame macro="">
      <xdr:nvGraphicFramePr>
        <xdr:cNvPr id="31551" name="Chart 3">
          <a:extLst>
            <a:ext uri="{FF2B5EF4-FFF2-40B4-BE49-F238E27FC236}">
              <a16:creationId xmlns:a16="http://schemas.microsoft.com/office/drawing/2014/main" id="{3B6023EB-3C5F-48CD-8CDF-AA8D0D5EBE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192405</xdr:colOff>
      <xdr:row>10</xdr:row>
      <xdr:rowOff>104775</xdr:rowOff>
    </xdr:from>
    <xdr:to>
      <xdr:col>9</xdr:col>
      <xdr:colOff>211455</xdr:colOff>
      <xdr:row>33</xdr:row>
      <xdr:rowOff>66675</xdr:rowOff>
    </xdr:to>
    <xdr:graphicFrame macro="">
      <xdr:nvGraphicFramePr>
        <xdr:cNvPr id="3960" name="Chart 5">
          <a:extLst>
            <a:ext uri="{FF2B5EF4-FFF2-40B4-BE49-F238E27FC236}">
              <a16:creationId xmlns:a16="http://schemas.microsoft.com/office/drawing/2014/main" id="{822792D1-2E45-453C-9914-68ECB21558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ikatoregion.govt.nz/Waikato-Progress-Indicators-Tupuranga-Waikato/"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9.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6.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5.xml"/><Relationship Id="rId1" Type="http://schemas.openxmlformats.org/officeDocument/2006/relationships/printerSettings" Target="../printerSettings/printerSettings27.bin"/><Relationship Id="rId4" Type="http://schemas.openxmlformats.org/officeDocument/2006/relationships/comments" Target="../comments6.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5"/>
  <sheetViews>
    <sheetView tabSelected="1" workbookViewId="0">
      <selection activeCell="A20" sqref="A20"/>
    </sheetView>
  </sheetViews>
  <sheetFormatPr defaultRowHeight="12.75"/>
  <cols>
    <col min="1" max="1" width="78.86328125" customWidth="1"/>
    <col min="2" max="2" width="51.46484375" customWidth="1"/>
    <col min="3" max="3" width="50" customWidth="1"/>
  </cols>
  <sheetData>
    <row r="1" spans="1:1">
      <c r="A1" s="1" t="s">
        <v>106</v>
      </c>
    </row>
    <row r="2" spans="1:1">
      <c r="A2" s="1"/>
    </row>
    <row r="3" spans="1:1" ht="17.649999999999999">
      <c r="A3" s="83" t="s">
        <v>183</v>
      </c>
    </row>
    <row r="4" spans="1:1">
      <c r="A4" s="1"/>
    </row>
    <row r="5" spans="1:1" ht="20.65">
      <c r="A5" s="68" t="s">
        <v>61</v>
      </c>
    </row>
    <row r="6" spans="1:1" ht="13.15">
      <c r="A6" s="2" t="s">
        <v>20</v>
      </c>
    </row>
    <row r="7" spans="1:1" ht="13.15">
      <c r="A7" s="81" t="s">
        <v>543</v>
      </c>
    </row>
    <row r="8" spans="1:1">
      <c r="A8" s="4"/>
    </row>
    <row r="9" spans="1:1" ht="51">
      <c r="A9" s="4" t="s">
        <v>286</v>
      </c>
    </row>
    <row r="10" spans="1:1">
      <c r="A10" s="4"/>
    </row>
    <row r="11" spans="1:1" ht="25.5">
      <c r="A11" s="82" t="s">
        <v>176</v>
      </c>
    </row>
    <row r="12" spans="1:1">
      <c r="A12" s="4"/>
    </row>
    <row r="13" spans="1:1">
      <c r="A13" s="4" t="s">
        <v>177</v>
      </c>
    </row>
    <row r="14" spans="1:1" ht="14.25" customHeight="1">
      <c r="A14" s="79" t="s">
        <v>546</v>
      </c>
    </row>
    <row r="15" spans="1:1">
      <c r="A15" s="4"/>
    </row>
    <row r="16" spans="1:1">
      <c r="A16" s="4"/>
    </row>
    <row r="17" spans="1:1" ht="13.15">
      <c r="A17" s="5"/>
    </row>
    <row r="18" spans="1:1">
      <c r="A18" s="4"/>
    </row>
    <row r="20" spans="1:1">
      <c r="A20" s="4"/>
    </row>
    <row r="21" spans="1:1">
      <c r="A21" s="4"/>
    </row>
    <row r="22" spans="1:1">
      <c r="A22" s="4"/>
    </row>
    <row r="23" spans="1:1">
      <c r="A23" s="4"/>
    </row>
    <row r="24" spans="1:1">
      <c r="A24" s="4"/>
    </row>
    <row r="25" spans="1:1">
      <c r="A25" s="4"/>
    </row>
    <row r="26" spans="1:1" ht="12.75" customHeight="1">
      <c r="A26" s="4"/>
    </row>
    <row r="27" spans="1:1" ht="12.75" customHeight="1">
      <c r="A27" s="4"/>
    </row>
    <row r="28" spans="1:1" ht="12.75" customHeight="1">
      <c r="A28" s="4"/>
    </row>
    <row r="29" spans="1:1" ht="12.75" customHeight="1">
      <c r="A29" s="4"/>
    </row>
    <row r="30" spans="1:1" ht="12.75" customHeight="1">
      <c r="A30" s="4"/>
    </row>
    <row r="31" spans="1:1">
      <c r="A31" s="4"/>
    </row>
    <row r="32" spans="1:1">
      <c r="A32" s="4"/>
    </row>
    <row r="33" spans="1:3">
      <c r="A33" s="4"/>
    </row>
    <row r="34" spans="1:3">
      <c r="A34" s="4"/>
    </row>
    <row r="35" spans="1:3">
      <c r="A35" s="4"/>
      <c r="B35" s="4"/>
      <c r="C35" s="4"/>
    </row>
  </sheetData>
  <phoneticPr fontId="2" type="noConversion"/>
  <hyperlinks>
    <hyperlink ref="A1" location="Index!A1" display="Return to Index" xr:uid="{00000000-0004-0000-0000-000000000000}"/>
    <hyperlink ref="A14" r:id="rId1" xr:uid="{00000000-0004-0000-0000-000001000000}"/>
  </hyperlinks>
  <pageMargins left="0.75" right="0.75" top="1" bottom="1" header="0.5" footer="0.5"/>
  <pageSetup paperSize="9"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0"/>
  <sheetViews>
    <sheetView workbookViewId="0"/>
  </sheetViews>
  <sheetFormatPr defaultRowHeight="12.75"/>
  <cols>
    <col min="1" max="1" width="45.53125" customWidth="1"/>
  </cols>
  <sheetData>
    <row r="1" spans="1:28">
      <c r="A1" s="1" t="s">
        <v>106</v>
      </c>
    </row>
    <row r="3" spans="1:28" ht="17.649999999999999">
      <c r="A3" s="83" t="s">
        <v>183</v>
      </c>
    </row>
    <row r="5" spans="1:28" ht="13.15">
      <c r="A5" s="2" t="s">
        <v>37</v>
      </c>
      <c r="C5" s="171" t="s">
        <v>184</v>
      </c>
      <c r="D5" s="171"/>
      <c r="E5" s="171"/>
    </row>
    <row r="6" spans="1:28" ht="13.15">
      <c r="A6" s="2" t="s">
        <v>185</v>
      </c>
      <c r="C6" s="171" t="s">
        <v>32</v>
      </c>
      <c r="D6" s="171"/>
      <c r="E6" s="171"/>
    </row>
    <row r="8" spans="1:28" ht="13.15">
      <c r="B8" s="2">
        <v>2000</v>
      </c>
      <c r="C8" s="2">
        <v>2001</v>
      </c>
      <c r="D8" s="2">
        <v>2002</v>
      </c>
      <c r="E8" s="2">
        <v>2003</v>
      </c>
      <c r="F8" s="2">
        <v>2004</v>
      </c>
      <c r="G8" s="2">
        <v>2005</v>
      </c>
      <c r="H8" s="2">
        <v>2006</v>
      </c>
      <c r="I8" s="2">
        <v>2007</v>
      </c>
      <c r="J8" s="2">
        <v>2008</v>
      </c>
      <c r="K8" s="2">
        <v>2009</v>
      </c>
      <c r="L8" s="2">
        <v>2010</v>
      </c>
      <c r="M8" s="2">
        <v>2011</v>
      </c>
      <c r="N8" s="2">
        <v>2012</v>
      </c>
      <c r="O8" s="2">
        <v>2013</v>
      </c>
      <c r="P8" s="2">
        <v>2014</v>
      </c>
      <c r="Q8" s="2">
        <v>2015</v>
      </c>
      <c r="R8" s="2">
        <v>2016</v>
      </c>
      <c r="S8" s="2">
        <v>2017</v>
      </c>
      <c r="T8" s="2">
        <v>2018</v>
      </c>
      <c r="U8" s="2">
        <v>2019</v>
      </c>
      <c r="V8" s="2">
        <v>2020</v>
      </c>
      <c r="W8" s="2">
        <v>2021</v>
      </c>
      <c r="X8" s="2">
        <v>2022</v>
      </c>
      <c r="Y8" s="2">
        <v>2023</v>
      </c>
    </row>
    <row r="9" spans="1:28">
      <c r="A9" s="138" t="s">
        <v>528</v>
      </c>
      <c r="B9" s="19">
        <v>45602.069767441862</v>
      </c>
      <c r="C9" s="19">
        <v>48736.964504283962</v>
      </c>
      <c r="D9" s="19">
        <v>51686.161870503602</v>
      </c>
      <c r="E9" s="19">
        <v>49513.810157194683</v>
      </c>
      <c r="F9" s="19">
        <v>51522.053003533569</v>
      </c>
      <c r="G9" s="19">
        <v>51961.469318181829</v>
      </c>
      <c r="H9" s="19">
        <v>54231.596648044695</v>
      </c>
      <c r="I9" s="19">
        <v>57226.034261241963</v>
      </c>
      <c r="J9" s="19">
        <v>57035.080448065171</v>
      </c>
      <c r="K9" s="19">
        <v>58211.644067796602</v>
      </c>
      <c r="L9" s="19">
        <v>55996.926660059456</v>
      </c>
      <c r="M9" s="19">
        <v>56347.063870352722</v>
      </c>
      <c r="N9" s="19">
        <v>59207.145695364234</v>
      </c>
      <c r="O9" s="19">
        <v>57482.00662251655</v>
      </c>
      <c r="P9" s="19">
        <v>59615.668449197852</v>
      </c>
      <c r="Q9" s="19">
        <v>59173.713129496406</v>
      </c>
      <c r="R9" s="19">
        <v>59014.240921169177</v>
      </c>
      <c r="S9" s="19">
        <v>59493.934931506839</v>
      </c>
      <c r="T9" s="19">
        <v>62247.293423271498</v>
      </c>
      <c r="U9" s="19">
        <v>64741.899334442591</v>
      </c>
      <c r="V9" s="19">
        <v>64916.068965517239</v>
      </c>
      <c r="W9" s="19">
        <v>65308.343426294814</v>
      </c>
      <c r="X9" s="19">
        <v>66342.053973013506</v>
      </c>
      <c r="Y9" s="19">
        <v>67028</v>
      </c>
      <c r="Z9" s="19"/>
      <c r="AA9" s="19"/>
      <c r="AB9" s="19"/>
    </row>
    <row r="10" spans="1:28">
      <c r="T10" s="58"/>
    </row>
    <row r="17" spans="16:17">
      <c r="P17" s="19"/>
      <c r="Q17" s="19"/>
    </row>
    <row r="18" spans="16:17">
      <c r="P18" s="19"/>
      <c r="Q18" s="19"/>
    </row>
    <row r="19" spans="16:17">
      <c r="P19" s="19"/>
      <c r="Q19" s="19"/>
    </row>
    <row r="20" spans="16:17">
      <c r="P20" s="19"/>
      <c r="Q20" s="19"/>
    </row>
    <row r="21" spans="16:17">
      <c r="P21" s="19"/>
      <c r="Q21" s="19"/>
    </row>
    <row r="22" spans="16:17">
      <c r="P22" s="19"/>
      <c r="Q22" s="19"/>
    </row>
    <row r="23" spans="16:17">
      <c r="P23" s="19"/>
      <c r="Q23" s="19"/>
    </row>
    <row r="24" spans="16:17">
      <c r="P24" s="19"/>
      <c r="Q24" s="19"/>
    </row>
    <row r="25" spans="16:17">
      <c r="P25" s="19"/>
      <c r="Q25" s="19"/>
    </row>
    <row r="26" spans="16:17">
      <c r="P26" s="19"/>
      <c r="Q26" s="19"/>
    </row>
    <row r="27" spans="16:17">
      <c r="P27" s="19"/>
      <c r="Q27" s="19"/>
    </row>
    <row r="28" spans="16:17">
      <c r="P28" s="19"/>
      <c r="Q28" s="19"/>
    </row>
    <row r="29" spans="16:17">
      <c r="P29" s="19"/>
      <c r="Q29" s="19"/>
    </row>
    <row r="30" spans="16:17">
      <c r="P30" s="19"/>
      <c r="Q30" s="19"/>
    </row>
    <row r="31" spans="16:17">
      <c r="P31" s="19"/>
      <c r="Q31" s="19"/>
    </row>
    <row r="32" spans="16:17">
      <c r="P32" s="19"/>
      <c r="Q32" s="19"/>
    </row>
    <row r="33" spans="16:17">
      <c r="P33" s="19"/>
      <c r="Q33" s="19"/>
    </row>
    <row r="34" spans="16:17">
      <c r="P34" s="19"/>
      <c r="Q34" s="19"/>
    </row>
    <row r="35" spans="16:17">
      <c r="P35" s="19"/>
      <c r="Q35" s="19"/>
    </row>
    <row r="36" spans="16:17">
      <c r="P36" s="19"/>
      <c r="Q36" s="19"/>
    </row>
    <row r="37" spans="16:17">
      <c r="P37" s="19"/>
      <c r="Q37" s="19"/>
    </row>
    <row r="38" spans="16:17">
      <c r="Q38" s="19"/>
    </row>
    <row r="39" spans="16:17">
      <c r="Q39" s="19"/>
    </row>
    <row r="40" spans="16:17">
      <c r="Q40" s="19"/>
    </row>
  </sheetData>
  <phoneticPr fontId="2" type="noConversion"/>
  <hyperlinks>
    <hyperlink ref="A1" location="Index!A1" display="Return to Index" xr:uid="{00000000-0004-0000-0300-000000000000}"/>
  </hyperlinks>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9"/>
  <sheetViews>
    <sheetView workbookViewId="0"/>
  </sheetViews>
  <sheetFormatPr defaultRowHeight="12.75"/>
  <cols>
    <col min="1" max="1" width="68.1328125" customWidth="1"/>
  </cols>
  <sheetData>
    <row r="1" spans="1:18">
      <c r="A1" s="1" t="s">
        <v>106</v>
      </c>
    </row>
    <row r="3" spans="1:18" ht="17.649999999999999">
      <c r="A3" s="96" t="s">
        <v>183</v>
      </c>
      <c r="B3" s="84"/>
      <c r="C3" s="84"/>
      <c r="D3" s="84"/>
      <c r="E3" s="84"/>
      <c r="F3" s="84"/>
      <c r="G3" s="84"/>
      <c r="H3" s="84"/>
    </row>
    <row r="5" spans="1:18" ht="13.15">
      <c r="A5" s="85" t="s">
        <v>71</v>
      </c>
      <c r="B5" s="171" t="s">
        <v>212</v>
      </c>
      <c r="C5" s="171"/>
      <c r="D5" s="171"/>
      <c r="E5" s="84"/>
    </row>
    <row r="6" spans="1:18" ht="13.15">
      <c r="A6" s="85" t="s">
        <v>86</v>
      </c>
      <c r="B6" s="171" t="s">
        <v>32</v>
      </c>
      <c r="C6" s="171"/>
      <c r="D6" s="171"/>
      <c r="E6" s="84"/>
    </row>
    <row r="8" spans="1:18" ht="14.25">
      <c r="B8" s="57">
        <v>2007</v>
      </c>
      <c r="C8" s="57">
        <v>2008</v>
      </c>
      <c r="D8" s="57">
        <v>2009</v>
      </c>
      <c r="E8" s="57">
        <v>2010</v>
      </c>
      <c r="F8" s="57">
        <v>2011</v>
      </c>
      <c r="G8" s="57">
        <v>2012</v>
      </c>
      <c r="H8" s="57">
        <v>2013</v>
      </c>
      <c r="I8" s="57">
        <v>2014</v>
      </c>
      <c r="J8" s="57">
        <v>2015</v>
      </c>
      <c r="K8" s="57">
        <v>2016</v>
      </c>
      <c r="L8" s="57">
        <v>2017</v>
      </c>
      <c r="M8" s="57">
        <v>2018</v>
      </c>
      <c r="N8" s="57">
        <v>2019</v>
      </c>
      <c r="O8" s="57">
        <v>2020</v>
      </c>
      <c r="P8" s="57">
        <v>2021</v>
      </c>
      <c r="Q8" s="57">
        <v>2022</v>
      </c>
      <c r="R8" s="57">
        <v>2023</v>
      </c>
    </row>
    <row r="9" spans="1:18">
      <c r="A9" s="14" t="s">
        <v>403</v>
      </c>
      <c r="B9" s="69">
        <v>67.222753854332808</v>
      </c>
      <c r="C9" s="69">
        <v>64.990962254120149</v>
      </c>
      <c r="D9" s="69">
        <v>64.461456671983001</v>
      </c>
      <c r="E9" s="69">
        <v>68.706007442849554</v>
      </c>
      <c r="F9" s="69">
        <v>71.778309409888365</v>
      </c>
      <c r="G9" s="69">
        <v>76.439659755449242</v>
      </c>
      <c r="H9" s="69">
        <v>87.071238702817652</v>
      </c>
      <c r="I9" s="69">
        <v>85.851674641148335</v>
      </c>
      <c r="J9" s="69">
        <v>86.2</v>
      </c>
      <c r="K9" s="69">
        <v>86.481658692185007</v>
      </c>
      <c r="L9" s="69">
        <v>85.2</v>
      </c>
      <c r="M9" s="69">
        <v>85.8</v>
      </c>
      <c r="N9" s="61">
        <v>84.855382967327259</v>
      </c>
      <c r="O9" s="61">
        <v>82.852169255490082</v>
      </c>
      <c r="P9" s="61">
        <v>89.823781467595097</v>
      </c>
      <c r="Q9" s="61">
        <v>90.2019282271023</v>
      </c>
      <c r="R9" s="61">
        <v>91.164434922335303</v>
      </c>
    </row>
  </sheetData>
  <phoneticPr fontId="2" type="noConversion"/>
  <hyperlinks>
    <hyperlink ref="A1" location="Index!A1" display="Return to Index" xr:uid="{00000000-0004-0000-1800-000000000000}"/>
  </hyperlinks>
  <pageMargins left="0.75" right="0.75" top="1" bottom="1" header="0.5" footer="0.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8"/>
  <sheetViews>
    <sheetView workbookViewId="0"/>
  </sheetViews>
  <sheetFormatPr defaultRowHeight="12.75"/>
  <cols>
    <col min="1" max="1" width="22.6640625" customWidth="1"/>
  </cols>
  <sheetData>
    <row r="1" spans="1:9">
      <c r="A1" s="1" t="s">
        <v>106</v>
      </c>
    </row>
    <row r="3" spans="1:9" ht="17.649999999999999">
      <c r="A3" s="96" t="s">
        <v>183</v>
      </c>
      <c r="B3" s="84"/>
      <c r="C3" s="84"/>
      <c r="D3" s="84"/>
      <c r="E3" s="84"/>
      <c r="F3" s="84"/>
      <c r="G3" s="84"/>
      <c r="H3" s="84"/>
      <c r="I3" s="84"/>
    </row>
    <row r="5" spans="1:9" ht="13.15">
      <c r="A5" s="85" t="s">
        <v>83</v>
      </c>
      <c r="B5" s="84"/>
      <c r="C5" s="84"/>
      <c r="D5" s="84"/>
      <c r="E5" s="84"/>
      <c r="F5" s="173" t="s">
        <v>204</v>
      </c>
      <c r="G5" s="173"/>
      <c r="H5" s="173"/>
      <c r="I5" s="174"/>
    </row>
    <row r="6" spans="1:9" ht="13.15">
      <c r="A6" s="85" t="s">
        <v>306</v>
      </c>
      <c r="B6" s="84"/>
      <c r="C6" s="84"/>
      <c r="D6" s="84"/>
      <c r="E6" s="84"/>
      <c r="F6" s="173" t="s">
        <v>31</v>
      </c>
      <c r="G6" s="173"/>
      <c r="H6" s="173"/>
      <c r="I6" s="174"/>
    </row>
    <row r="8" spans="1:9" ht="13.15">
      <c r="B8" s="2">
        <v>2006</v>
      </c>
      <c r="C8" s="2">
        <v>2016</v>
      </c>
      <c r="D8" s="2">
        <v>2018</v>
      </c>
      <c r="E8" s="2">
        <v>2020</v>
      </c>
      <c r="F8" s="2">
        <v>2022</v>
      </c>
    </row>
    <row r="9" spans="1:9">
      <c r="A9" s="14" t="s">
        <v>319</v>
      </c>
      <c r="B9" s="61">
        <v>62</v>
      </c>
      <c r="C9" s="61">
        <v>46</v>
      </c>
      <c r="D9" s="61">
        <v>36</v>
      </c>
      <c r="E9" s="61">
        <v>37</v>
      </c>
      <c r="F9" s="61">
        <v>31</v>
      </c>
    </row>
    <row r="10" spans="1:9">
      <c r="B10" s="6"/>
    </row>
    <row r="11" spans="1:9">
      <c r="B11" s="6"/>
    </row>
    <row r="20" spans="1:6" ht="15" customHeight="1"/>
    <row r="26" spans="1:6">
      <c r="A26" s="10"/>
      <c r="B26" s="10"/>
      <c r="C26" s="10"/>
      <c r="D26" s="10"/>
      <c r="E26" s="10"/>
      <c r="F26" s="10"/>
    </row>
    <row r="27" spans="1:6">
      <c r="A27" s="10"/>
      <c r="B27" s="10"/>
      <c r="C27" s="10"/>
      <c r="D27" s="10"/>
      <c r="E27" s="10"/>
      <c r="F27" s="10"/>
    </row>
    <row r="28" spans="1:6">
      <c r="A28" s="10"/>
      <c r="B28" s="10"/>
      <c r="C28" s="10"/>
      <c r="D28" s="10"/>
      <c r="E28" s="10"/>
      <c r="F28" s="10"/>
    </row>
    <row r="29" spans="1:6">
      <c r="A29" s="10"/>
      <c r="B29" s="10"/>
      <c r="C29" s="10"/>
      <c r="D29" s="10"/>
      <c r="E29" s="10"/>
      <c r="F29" s="10"/>
    </row>
    <row r="30" spans="1:6">
      <c r="A30" s="10"/>
      <c r="B30" s="10"/>
      <c r="C30" s="10"/>
      <c r="D30" s="10"/>
      <c r="E30" s="10"/>
      <c r="F30" s="10"/>
    </row>
    <row r="31" spans="1:6">
      <c r="A31" s="10"/>
      <c r="B31" s="10"/>
      <c r="C31" s="10"/>
      <c r="D31" s="10"/>
      <c r="E31" s="10"/>
      <c r="F31" s="10"/>
    </row>
    <row r="32" spans="1:6">
      <c r="A32" s="10"/>
      <c r="B32" s="10"/>
      <c r="C32" s="10"/>
      <c r="D32" s="10"/>
      <c r="E32" s="10"/>
      <c r="F32" s="10"/>
    </row>
    <row r="33" spans="1:6">
      <c r="A33" s="10"/>
      <c r="B33" s="10"/>
      <c r="C33" s="10"/>
      <c r="D33" s="10"/>
      <c r="E33" s="10"/>
      <c r="F33" s="10"/>
    </row>
    <row r="34" spans="1:6">
      <c r="A34" s="10"/>
      <c r="B34" s="10"/>
      <c r="C34" s="10"/>
      <c r="D34" s="10"/>
      <c r="E34" s="10"/>
      <c r="F34" s="10"/>
    </row>
    <row r="35" spans="1:6">
      <c r="A35" s="10"/>
      <c r="B35" s="10"/>
      <c r="C35" s="10"/>
      <c r="D35" s="10"/>
      <c r="E35" s="10"/>
      <c r="F35" s="10"/>
    </row>
    <row r="36" spans="1:6">
      <c r="A36" s="10"/>
      <c r="B36" s="10"/>
      <c r="C36" s="10"/>
      <c r="D36" s="10"/>
      <c r="E36" s="10"/>
      <c r="F36" s="10"/>
    </row>
    <row r="37" spans="1:6">
      <c r="A37" s="10"/>
      <c r="B37" s="10"/>
      <c r="C37" s="10"/>
      <c r="D37" s="10"/>
      <c r="E37" s="10"/>
      <c r="F37" s="10"/>
    </row>
    <row r="38" spans="1:6">
      <c r="A38" s="10"/>
      <c r="B38" s="10"/>
      <c r="C38" s="10"/>
      <c r="D38" s="10"/>
      <c r="E38" s="10"/>
      <c r="F38" s="10"/>
    </row>
  </sheetData>
  <phoneticPr fontId="2" type="noConversion"/>
  <hyperlinks>
    <hyperlink ref="A1" location="Index!A1" display="Return to Index" xr:uid="{00000000-0004-0000-1200-000000000000}"/>
  </hyperlinks>
  <pageMargins left="0.75" right="0.75" top="1" bottom="1" header="0.5" footer="0.5"/>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8"/>
  <sheetViews>
    <sheetView workbookViewId="0"/>
  </sheetViews>
  <sheetFormatPr defaultRowHeight="12.75"/>
  <cols>
    <col min="1" max="1" width="50.53125" customWidth="1"/>
  </cols>
  <sheetData>
    <row r="1" spans="1:8">
      <c r="A1" s="1" t="s">
        <v>106</v>
      </c>
    </row>
    <row r="3" spans="1:8" ht="17.649999999999999">
      <c r="A3" s="96" t="s">
        <v>183</v>
      </c>
      <c r="B3" s="84"/>
      <c r="C3" s="84"/>
      <c r="D3" s="84"/>
      <c r="E3" s="84"/>
      <c r="F3" s="84"/>
      <c r="G3" s="84"/>
      <c r="H3" s="84"/>
    </row>
    <row r="5" spans="1:8" ht="13.15">
      <c r="A5" s="85" t="s">
        <v>34</v>
      </c>
      <c r="B5" s="84"/>
      <c r="C5" s="84"/>
      <c r="D5" s="84"/>
      <c r="E5" s="173" t="s">
        <v>198</v>
      </c>
      <c r="F5" s="173"/>
      <c r="G5" s="173"/>
      <c r="H5" s="84"/>
    </row>
    <row r="6" spans="1:8" ht="13.15">
      <c r="A6" s="85" t="s">
        <v>306</v>
      </c>
      <c r="B6" s="84"/>
      <c r="C6" s="84"/>
      <c r="D6" s="84"/>
      <c r="E6" s="173" t="s">
        <v>31</v>
      </c>
      <c r="F6" s="173"/>
      <c r="G6" s="173"/>
      <c r="H6" s="84"/>
    </row>
    <row r="8" spans="1:8" ht="13.15">
      <c r="A8" s="2"/>
      <c r="B8" s="2">
        <v>2006</v>
      </c>
      <c r="C8" s="2">
        <v>2016</v>
      </c>
      <c r="D8" s="2">
        <v>2018</v>
      </c>
      <c r="E8" s="2">
        <v>2020</v>
      </c>
      <c r="F8" s="2">
        <v>2022</v>
      </c>
    </row>
    <row r="9" spans="1:8">
      <c r="A9" s="14" t="s">
        <v>307</v>
      </c>
      <c r="B9" s="61">
        <v>70</v>
      </c>
      <c r="C9" s="61">
        <v>68</v>
      </c>
      <c r="D9" s="61">
        <v>62</v>
      </c>
      <c r="E9" s="61">
        <v>67</v>
      </c>
      <c r="F9" s="61">
        <v>64</v>
      </c>
    </row>
    <row r="10" spans="1:8">
      <c r="B10" s="6"/>
    </row>
    <row r="11" spans="1:8">
      <c r="B11" s="6"/>
    </row>
    <row r="13" spans="1:8">
      <c r="B13" s="1"/>
    </row>
    <row r="21" spans="1:24" ht="13.15">
      <c r="A21" s="2"/>
    </row>
    <row r="22" spans="1:24" ht="13.15">
      <c r="A22" s="2"/>
    </row>
    <row r="23" spans="1:24" ht="13.15">
      <c r="A23" s="2"/>
    </row>
    <row r="25" spans="1:24">
      <c r="A25" s="17"/>
    </row>
    <row r="26" spans="1:24" ht="15" customHeight="1"/>
    <row r="27" spans="1:24" ht="15" customHeight="1">
      <c r="A27" s="14"/>
      <c r="B27" s="13"/>
      <c r="C27" s="13"/>
      <c r="D27" s="13"/>
    </row>
    <row r="28" spans="1:24">
      <c r="A28" s="14"/>
      <c r="B28" s="13"/>
      <c r="C28" s="13"/>
      <c r="D28" s="13"/>
      <c r="E28" s="10"/>
      <c r="F28" s="10"/>
      <c r="G28" s="10"/>
      <c r="H28" s="10"/>
      <c r="I28" s="10"/>
      <c r="J28" s="10"/>
    </row>
    <row r="29" spans="1:24">
      <c r="A29" s="14"/>
      <c r="B29" s="13"/>
      <c r="C29" s="13"/>
      <c r="D29" s="13"/>
      <c r="E29" s="10"/>
      <c r="F29" s="10"/>
      <c r="G29" s="10"/>
      <c r="H29" s="10"/>
      <c r="I29" s="10"/>
      <c r="J29" s="10"/>
      <c r="Q29" s="10"/>
      <c r="R29" s="10"/>
      <c r="S29" s="10"/>
      <c r="T29" s="10"/>
      <c r="U29" s="10"/>
      <c r="V29" s="10"/>
      <c r="W29" s="10"/>
      <c r="X29" s="15"/>
    </row>
    <row r="30" spans="1:24">
      <c r="A30" s="14"/>
      <c r="B30" s="13"/>
      <c r="C30" s="13"/>
      <c r="D30" s="13"/>
      <c r="E30" s="10"/>
      <c r="F30" s="10"/>
      <c r="G30" s="10"/>
      <c r="H30" s="10"/>
      <c r="I30" s="10"/>
      <c r="J30" s="10"/>
      <c r="Q30" s="10"/>
      <c r="R30" s="10"/>
      <c r="S30" s="10"/>
      <c r="T30" s="10"/>
      <c r="U30" s="10"/>
      <c r="V30" s="10"/>
      <c r="W30" s="10"/>
      <c r="X30" s="15"/>
    </row>
    <row r="31" spans="1:24">
      <c r="A31" s="14"/>
      <c r="B31" s="13"/>
      <c r="C31" s="13"/>
      <c r="D31" s="13"/>
      <c r="E31" s="10"/>
      <c r="F31" s="10"/>
      <c r="G31" s="10"/>
      <c r="H31" s="10"/>
      <c r="I31" s="10"/>
      <c r="J31" s="10"/>
      <c r="Q31" s="10"/>
      <c r="R31" s="10"/>
      <c r="S31" s="10"/>
      <c r="T31" s="10"/>
      <c r="U31" s="10"/>
      <c r="V31" s="10"/>
      <c r="W31" s="10"/>
      <c r="X31" s="15"/>
    </row>
    <row r="32" spans="1:24">
      <c r="A32" s="14"/>
      <c r="B32" s="13"/>
      <c r="C32" s="13"/>
      <c r="D32" s="13"/>
      <c r="E32" s="10"/>
      <c r="F32" s="10"/>
      <c r="G32" s="10"/>
      <c r="H32" s="10"/>
      <c r="I32" s="10"/>
      <c r="J32" s="10"/>
      <c r="Q32" s="10"/>
      <c r="R32" s="10"/>
      <c r="S32" s="10"/>
      <c r="T32" s="10"/>
      <c r="U32" s="10"/>
      <c r="V32" s="10"/>
      <c r="W32" s="10"/>
      <c r="X32" s="15"/>
    </row>
    <row r="33" spans="1:24">
      <c r="E33" s="10"/>
      <c r="F33" s="10"/>
      <c r="G33" s="10"/>
      <c r="H33" s="10"/>
      <c r="I33" s="10"/>
      <c r="J33" s="10"/>
      <c r="Q33" s="10"/>
      <c r="R33" s="10"/>
      <c r="S33" s="10"/>
      <c r="T33" s="10"/>
      <c r="U33" s="10"/>
      <c r="V33" s="10"/>
      <c r="W33" s="10"/>
      <c r="X33" s="15"/>
    </row>
    <row r="34" spans="1:24">
      <c r="A34" s="14"/>
      <c r="B34" s="13"/>
      <c r="C34" s="13"/>
      <c r="D34" s="13"/>
      <c r="E34" s="10"/>
      <c r="F34" s="10"/>
      <c r="G34" s="10"/>
      <c r="H34" s="13"/>
      <c r="I34" s="10"/>
      <c r="J34" s="10"/>
      <c r="Q34" s="10"/>
      <c r="R34" s="10"/>
      <c r="S34" s="10"/>
      <c r="T34" s="10"/>
      <c r="U34" s="10"/>
      <c r="V34" s="10"/>
      <c r="W34" s="10"/>
      <c r="X34" s="15"/>
    </row>
    <row r="35" spans="1:24">
      <c r="A35" s="14"/>
      <c r="B35" s="13"/>
      <c r="C35" s="13"/>
      <c r="D35" s="13"/>
      <c r="E35" s="10"/>
      <c r="F35" s="10"/>
      <c r="G35" s="10"/>
      <c r="H35" s="10"/>
      <c r="I35" s="10"/>
      <c r="J35" s="10"/>
      <c r="Q35" s="10"/>
      <c r="R35" s="10"/>
      <c r="S35" s="10"/>
      <c r="T35" s="10"/>
      <c r="U35" s="10"/>
      <c r="V35" s="10"/>
      <c r="W35" s="10"/>
      <c r="X35" s="15"/>
    </row>
    <row r="36" spans="1:24">
      <c r="A36" s="14"/>
      <c r="B36" s="13"/>
      <c r="C36" s="13"/>
      <c r="D36" s="13"/>
      <c r="E36" s="10"/>
      <c r="F36" s="10"/>
      <c r="G36" s="10"/>
      <c r="H36" s="10"/>
      <c r="I36" s="10"/>
      <c r="J36" s="10"/>
      <c r="Q36" s="10"/>
      <c r="R36" s="10"/>
      <c r="S36" s="10"/>
      <c r="T36" s="10"/>
      <c r="U36" s="10"/>
      <c r="V36" s="10"/>
      <c r="W36" s="10"/>
      <c r="X36" s="15"/>
    </row>
    <row r="37" spans="1:24">
      <c r="A37" s="14"/>
      <c r="B37" s="13"/>
      <c r="C37" s="13"/>
      <c r="D37" s="13"/>
      <c r="E37" s="10"/>
      <c r="F37" s="10"/>
      <c r="G37" s="10"/>
      <c r="H37" s="10"/>
      <c r="I37" s="10"/>
      <c r="J37" s="10"/>
      <c r="Q37" s="10"/>
      <c r="R37" s="10"/>
      <c r="S37" s="10"/>
      <c r="T37" s="10"/>
      <c r="U37" s="10"/>
      <c r="V37" s="10"/>
      <c r="W37" s="10"/>
      <c r="X37" s="15"/>
    </row>
    <row r="38" spans="1:24">
      <c r="A38" s="14"/>
      <c r="B38" s="13"/>
      <c r="C38" s="13"/>
      <c r="D38" s="13"/>
      <c r="E38" s="10"/>
      <c r="F38" s="10"/>
      <c r="G38" s="10"/>
      <c r="H38" s="10"/>
      <c r="I38" s="10"/>
      <c r="J38" s="10"/>
      <c r="Q38" s="10"/>
      <c r="R38" s="10"/>
      <c r="S38" s="10"/>
      <c r="T38" s="10"/>
      <c r="U38" s="10"/>
      <c r="V38" s="10"/>
      <c r="W38" s="10"/>
      <c r="X38" s="15"/>
    </row>
  </sheetData>
  <phoneticPr fontId="2" type="noConversion"/>
  <hyperlinks>
    <hyperlink ref="A1" location="Index!A1" display="Return to Index" xr:uid="{00000000-0004-0000-0D00-000000000000}"/>
  </hyperlinks>
  <pageMargins left="0.75" right="0.75" top="1" bottom="1" header="0.5" footer="0.5"/>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35"/>
  <sheetViews>
    <sheetView workbookViewId="0"/>
  </sheetViews>
  <sheetFormatPr defaultRowHeight="12.75"/>
  <cols>
    <col min="1" max="1" width="55.86328125" customWidth="1"/>
    <col min="2" max="31" width="12.46484375" customWidth="1"/>
  </cols>
  <sheetData>
    <row r="1" spans="1:28">
      <c r="A1" s="1" t="s">
        <v>106</v>
      </c>
    </row>
    <row r="3" spans="1:28" ht="17.649999999999999">
      <c r="A3" s="96" t="s">
        <v>183</v>
      </c>
      <c r="B3" s="84"/>
      <c r="C3" s="84"/>
      <c r="D3" s="84"/>
      <c r="E3" s="84"/>
      <c r="F3" s="84"/>
      <c r="G3" s="84"/>
    </row>
    <row r="5" spans="1:28" ht="13.15">
      <c r="A5" s="85" t="s">
        <v>14</v>
      </c>
      <c r="B5" s="84"/>
      <c r="C5" s="173" t="s">
        <v>191</v>
      </c>
      <c r="D5" s="173"/>
    </row>
    <row r="6" spans="1:28" ht="13.15">
      <c r="A6" s="85" t="s">
        <v>425</v>
      </c>
      <c r="B6" s="84"/>
      <c r="C6" s="173" t="s">
        <v>31</v>
      </c>
      <c r="D6" s="173"/>
    </row>
    <row r="8" spans="1:28" ht="13.15">
      <c r="B8" s="12">
        <v>2001</v>
      </c>
      <c r="C8" s="12">
        <v>2002</v>
      </c>
      <c r="D8" s="12">
        <v>2003</v>
      </c>
      <c r="E8" s="12">
        <v>2004</v>
      </c>
      <c r="F8" s="12">
        <v>2005</v>
      </c>
      <c r="G8" s="12">
        <v>2006</v>
      </c>
      <c r="H8" s="12">
        <v>2007</v>
      </c>
      <c r="I8" s="12">
        <v>2008</v>
      </c>
      <c r="J8" s="12">
        <v>2009</v>
      </c>
      <c r="K8" s="12">
        <v>2010</v>
      </c>
      <c r="L8" s="12">
        <v>2011</v>
      </c>
      <c r="M8" s="12">
        <v>2012</v>
      </c>
      <c r="N8" s="12">
        <v>2013</v>
      </c>
      <c r="O8" s="12">
        <v>2014</v>
      </c>
      <c r="P8" s="12">
        <v>2015</v>
      </c>
      <c r="Q8" s="12">
        <v>2016</v>
      </c>
      <c r="R8" s="12">
        <v>2017</v>
      </c>
      <c r="S8" s="12">
        <v>2018</v>
      </c>
      <c r="T8" s="12">
        <v>2019</v>
      </c>
      <c r="U8" s="12">
        <v>2020</v>
      </c>
      <c r="V8" s="12">
        <v>2021</v>
      </c>
      <c r="W8" s="12">
        <v>2022</v>
      </c>
      <c r="X8" s="12">
        <v>2023</v>
      </c>
      <c r="Y8" s="12"/>
      <c r="Z8" s="12"/>
      <c r="AA8" s="12"/>
      <c r="AB8" s="12"/>
    </row>
    <row r="9" spans="1:28">
      <c r="A9" s="21" t="s">
        <v>338</v>
      </c>
      <c r="B9" s="9">
        <v>832.43946188836389</v>
      </c>
      <c r="C9" s="9">
        <v>840.64716591816773</v>
      </c>
      <c r="D9" s="9">
        <v>780.52205297682951</v>
      </c>
      <c r="E9" s="9">
        <v>720.5963372683799</v>
      </c>
      <c r="F9" s="9">
        <v>769.8415804414185</v>
      </c>
      <c r="G9" s="9">
        <v>833.58884382201973</v>
      </c>
      <c r="H9" s="9">
        <v>797.90576321659751</v>
      </c>
      <c r="I9" s="9">
        <v>760.58608287813991</v>
      </c>
      <c r="J9" s="9">
        <v>828.88368065746215</v>
      </c>
      <c r="K9" s="9">
        <v>802.94452139501607</v>
      </c>
      <c r="L9" s="9">
        <v>806.9806572169233</v>
      </c>
      <c r="M9" s="9">
        <v>739.03788716845577</v>
      </c>
      <c r="N9" s="9">
        <v>722.29932637929221</v>
      </c>
      <c r="O9" s="9">
        <v>652.6303755866229</v>
      </c>
      <c r="P9" s="9">
        <v>582.59997264146648</v>
      </c>
      <c r="Q9" s="9">
        <v>624.84696035438412</v>
      </c>
      <c r="R9" s="9">
        <v>624.52049153681105</v>
      </c>
      <c r="S9" s="9">
        <v>588.94561786327142</v>
      </c>
      <c r="T9" s="9">
        <v>658.39037544077996</v>
      </c>
      <c r="U9" s="9">
        <v>623.39101182442641</v>
      </c>
      <c r="V9" s="9">
        <v>682.45823389021484</v>
      </c>
      <c r="W9" s="9">
        <v>832.74168737427522</v>
      </c>
      <c r="X9" s="9">
        <v>845.8143837200339</v>
      </c>
      <c r="Y9" s="9"/>
      <c r="Z9" s="9"/>
      <c r="AA9" s="9"/>
      <c r="AB9" s="9"/>
    </row>
    <row r="10" spans="1:28">
      <c r="A10" s="14"/>
      <c r="B10" s="9"/>
      <c r="C10" s="9"/>
      <c r="D10" s="9"/>
      <c r="E10" s="9"/>
      <c r="F10" s="9"/>
      <c r="G10" s="9"/>
      <c r="H10" s="9"/>
      <c r="I10" s="9"/>
      <c r="J10" s="9"/>
      <c r="K10" s="9"/>
      <c r="L10" s="9"/>
      <c r="M10" s="9"/>
      <c r="N10" s="9"/>
      <c r="O10" s="9"/>
      <c r="P10" s="9"/>
      <c r="Q10" s="9"/>
      <c r="R10" s="9"/>
      <c r="S10" s="9"/>
      <c r="T10" s="9"/>
      <c r="U10" s="9"/>
      <c r="W10" s="9"/>
      <c r="X10" s="9"/>
      <c r="Y10" s="9"/>
      <c r="Z10" s="9"/>
      <c r="AA10" s="9"/>
      <c r="AB10" s="9"/>
    </row>
    <row r="11" spans="1:28">
      <c r="A11" s="14"/>
      <c r="B11" s="9"/>
      <c r="C11" s="9"/>
      <c r="D11" s="9"/>
      <c r="E11" s="9"/>
      <c r="F11" s="9"/>
      <c r="G11" s="9"/>
      <c r="H11" s="9"/>
      <c r="I11" s="9"/>
      <c r="J11" s="9"/>
      <c r="K11" s="9"/>
      <c r="L11" s="9"/>
      <c r="M11" s="9"/>
      <c r="N11" s="9"/>
      <c r="O11" s="9"/>
      <c r="P11" s="9"/>
      <c r="Q11" s="9"/>
      <c r="R11" s="9"/>
      <c r="S11" s="9"/>
      <c r="T11" s="9"/>
      <c r="U11" s="9"/>
    </row>
    <row r="12" spans="1:28">
      <c r="A12" s="14"/>
      <c r="B12" s="9"/>
      <c r="C12" s="9"/>
      <c r="D12" s="9"/>
      <c r="E12" s="9"/>
      <c r="F12" s="9"/>
      <c r="G12" s="9"/>
      <c r="H12" s="9"/>
      <c r="I12" s="9"/>
      <c r="J12" s="9"/>
      <c r="K12" s="9"/>
      <c r="L12" s="9"/>
      <c r="M12" s="9"/>
      <c r="N12" s="9"/>
      <c r="O12" s="9"/>
      <c r="P12" s="9"/>
      <c r="Q12" s="9"/>
      <c r="R12" s="9"/>
      <c r="S12" s="9"/>
      <c r="T12" s="9"/>
      <c r="U12" s="9"/>
    </row>
    <row r="13" spans="1:28">
      <c r="A13" s="14"/>
      <c r="B13" s="9"/>
      <c r="C13" s="9"/>
      <c r="D13" s="9"/>
      <c r="E13" s="9"/>
      <c r="F13" s="9"/>
      <c r="G13" s="9"/>
      <c r="H13" s="9"/>
      <c r="I13" s="9"/>
      <c r="J13" s="9"/>
      <c r="K13" s="9"/>
      <c r="L13" s="9"/>
      <c r="M13" s="9"/>
      <c r="N13" s="9"/>
      <c r="O13" s="9"/>
      <c r="P13" s="9"/>
      <c r="Q13" s="9"/>
      <c r="R13" s="9"/>
      <c r="S13" s="9"/>
      <c r="T13" s="9"/>
      <c r="U13" s="9"/>
    </row>
    <row r="14" spans="1:28">
      <c r="A14" s="14"/>
      <c r="B14" s="9"/>
      <c r="C14" s="9"/>
      <c r="D14" s="9"/>
      <c r="E14" s="9"/>
      <c r="F14" s="9"/>
      <c r="G14" s="9"/>
      <c r="H14" s="9"/>
      <c r="I14" s="9"/>
      <c r="J14" s="9"/>
      <c r="K14" s="9"/>
      <c r="L14" s="9"/>
      <c r="M14" s="9"/>
    </row>
    <row r="16" spans="1:28">
      <c r="M16" s="9"/>
    </row>
    <row r="17" spans="13:13">
      <c r="M17" s="9"/>
    </row>
    <row r="18" spans="13:13">
      <c r="M18" s="9"/>
    </row>
    <row r="19" spans="13:13">
      <c r="M19" s="9"/>
    </row>
    <row r="20" spans="13:13">
      <c r="M20" s="9"/>
    </row>
    <row r="21" spans="13:13">
      <c r="M21" s="9"/>
    </row>
    <row r="22" spans="13:13">
      <c r="M22" s="9"/>
    </row>
    <row r="23" spans="13:13">
      <c r="M23" s="9"/>
    </row>
    <row r="24" spans="13:13">
      <c r="M24" s="9"/>
    </row>
    <row r="25" spans="13:13">
      <c r="M25" s="9"/>
    </row>
    <row r="26" spans="13:13">
      <c r="M26" s="9"/>
    </row>
    <row r="27" spans="13:13">
      <c r="M27" s="9"/>
    </row>
    <row r="28" spans="13:13">
      <c r="M28" s="9"/>
    </row>
    <row r="29" spans="13:13">
      <c r="M29" s="9"/>
    </row>
    <row r="30" spans="13:13">
      <c r="M30" s="9"/>
    </row>
    <row r="31" spans="13:13">
      <c r="M31" s="9"/>
    </row>
    <row r="32" spans="13:13">
      <c r="M32" s="9"/>
    </row>
    <row r="33" spans="13:13">
      <c r="M33" s="9"/>
    </row>
    <row r="34" spans="13:13">
      <c r="M34" s="9"/>
    </row>
    <row r="35" spans="13:13">
      <c r="M35" s="9"/>
    </row>
  </sheetData>
  <phoneticPr fontId="2" type="noConversion"/>
  <hyperlinks>
    <hyperlink ref="A1" location="Index!A1" display="Return to Index" xr:uid="{00000000-0004-0000-0800-000000000000}"/>
  </hyperlinks>
  <pageMargins left="0.75" right="0.75" top="1" bottom="1" header="0.5" footer="0.5"/>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5"/>
  <sheetViews>
    <sheetView workbookViewId="0"/>
  </sheetViews>
  <sheetFormatPr defaultRowHeight="12.75"/>
  <cols>
    <col min="1" max="1" width="63.6640625" customWidth="1"/>
  </cols>
  <sheetData>
    <row r="1" spans="1:10">
      <c r="A1" s="1" t="s">
        <v>106</v>
      </c>
    </row>
    <row r="3" spans="1:10" ht="17.649999999999999">
      <c r="A3" s="96" t="s">
        <v>183</v>
      </c>
      <c r="B3" s="84"/>
      <c r="C3" s="84"/>
      <c r="D3" s="84"/>
      <c r="E3" s="84"/>
      <c r="F3" s="84"/>
      <c r="G3" s="84"/>
      <c r="H3" s="84"/>
      <c r="I3" s="84"/>
      <c r="J3" s="84"/>
    </row>
    <row r="5" spans="1:10" ht="13.15">
      <c r="A5" s="85" t="s">
        <v>39</v>
      </c>
      <c r="B5" s="84"/>
      <c r="C5" s="84"/>
      <c r="D5" s="84"/>
      <c r="E5" s="84"/>
      <c r="F5" s="173" t="s">
        <v>200</v>
      </c>
      <c r="G5" s="173"/>
      <c r="H5" s="173"/>
      <c r="I5" s="84"/>
    </row>
    <row r="6" spans="1:10" ht="13.15">
      <c r="A6" s="85" t="s">
        <v>306</v>
      </c>
      <c r="B6" s="84"/>
      <c r="C6" s="84"/>
      <c r="D6" s="84"/>
      <c r="E6" s="84"/>
      <c r="F6" s="173" t="s">
        <v>31</v>
      </c>
      <c r="G6" s="173"/>
      <c r="H6" s="173"/>
      <c r="I6" s="84"/>
    </row>
    <row r="8" spans="1:10" ht="13.15">
      <c r="B8" s="2">
        <v>2006</v>
      </c>
      <c r="C8" s="2">
        <v>2016</v>
      </c>
      <c r="D8" s="2">
        <v>2018</v>
      </c>
      <c r="E8" s="2">
        <v>2020</v>
      </c>
      <c r="F8" s="2">
        <v>2022</v>
      </c>
    </row>
    <row r="9" spans="1:10">
      <c r="A9" s="14" t="s">
        <v>310</v>
      </c>
      <c r="B9" s="61">
        <v>51</v>
      </c>
      <c r="C9" s="61">
        <v>43</v>
      </c>
      <c r="D9" s="61">
        <v>41</v>
      </c>
      <c r="E9" s="61">
        <v>47</v>
      </c>
      <c r="F9" s="61">
        <v>39</v>
      </c>
    </row>
    <row r="10" spans="1:10">
      <c r="B10" s="6"/>
    </row>
    <row r="11" spans="1:10">
      <c r="B11" s="6"/>
    </row>
    <row r="13" spans="1:10">
      <c r="B13" s="1"/>
    </row>
    <row r="21" spans="1:4" ht="13.15">
      <c r="A21" s="2"/>
    </row>
    <row r="22" spans="1:4" ht="13.15">
      <c r="A22" s="2"/>
    </row>
    <row r="23" spans="1:4" ht="13.15">
      <c r="A23" s="2"/>
    </row>
    <row r="24" spans="1:4">
      <c r="A24" s="17"/>
    </row>
    <row r="26" spans="1:4">
      <c r="A26" s="14"/>
      <c r="B26" s="13"/>
      <c r="C26" s="13"/>
      <c r="D26" s="13"/>
    </row>
    <row r="27" spans="1:4">
      <c r="A27" s="14"/>
      <c r="B27" s="13"/>
      <c r="C27" s="13"/>
      <c r="D27" s="13"/>
    </row>
    <row r="28" spans="1:4">
      <c r="A28" s="14"/>
      <c r="B28" s="13"/>
      <c r="C28" s="13"/>
      <c r="D28" s="13"/>
    </row>
    <row r="29" spans="1:4">
      <c r="A29" s="14"/>
      <c r="B29" s="13"/>
      <c r="C29" s="13"/>
      <c r="D29" s="13"/>
    </row>
    <row r="30" spans="1:4">
      <c r="A30" s="14"/>
      <c r="B30" s="13"/>
      <c r="C30" s="13"/>
      <c r="D30" s="13"/>
    </row>
    <row r="31" spans="1:4">
      <c r="A31" s="14"/>
      <c r="B31" s="13"/>
      <c r="C31" s="13"/>
      <c r="D31" s="13"/>
    </row>
    <row r="33" spans="1:4">
      <c r="A33" s="14"/>
      <c r="B33" s="13"/>
      <c r="C33" s="13"/>
      <c r="D33" s="13"/>
    </row>
    <row r="34" spans="1:4">
      <c r="A34" s="14"/>
      <c r="B34" s="13"/>
      <c r="C34" s="13"/>
      <c r="D34" s="13"/>
    </row>
    <row r="35" spans="1:4">
      <c r="A35" s="14"/>
      <c r="B35" s="13"/>
      <c r="C35" s="13"/>
      <c r="D35" s="13"/>
    </row>
  </sheetData>
  <phoneticPr fontId="2" type="noConversion"/>
  <hyperlinks>
    <hyperlink ref="A1" location="Index!A1" display="Return to Index" xr:uid="{00000000-0004-0000-0F00-000000000000}"/>
  </hyperlinks>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9"/>
  <sheetViews>
    <sheetView workbookViewId="0"/>
  </sheetViews>
  <sheetFormatPr defaultRowHeight="12.75"/>
  <cols>
    <col min="1" max="1" width="51.46484375" customWidth="1"/>
    <col min="2" max="9" width="16" customWidth="1"/>
    <col min="10" max="10" width="21.1328125" customWidth="1"/>
    <col min="11" max="15" width="16" customWidth="1"/>
  </cols>
  <sheetData>
    <row r="1" spans="1:15">
      <c r="A1" s="1" t="s">
        <v>106</v>
      </c>
    </row>
    <row r="3" spans="1:15" ht="17.649999999999999">
      <c r="A3" s="96" t="s">
        <v>183</v>
      </c>
      <c r="B3" s="84"/>
      <c r="C3" s="84"/>
      <c r="D3" s="84"/>
    </row>
    <row r="5" spans="1:15" ht="13.15">
      <c r="A5" s="85" t="s">
        <v>68</v>
      </c>
      <c r="B5" s="84"/>
      <c r="C5" s="173" t="s">
        <v>187</v>
      </c>
      <c r="D5" s="173"/>
    </row>
    <row r="6" spans="1:15" ht="13.15">
      <c r="A6" s="2" t="s">
        <v>276</v>
      </c>
      <c r="B6" s="84"/>
      <c r="C6" s="173" t="s">
        <v>31</v>
      </c>
      <c r="D6" s="173"/>
    </row>
    <row r="8" spans="1:15" ht="13.15">
      <c r="B8" s="2">
        <v>2009</v>
      </c>
      <c r="C8" s="2">
        <v>2010</v>
      </c>
      <c r="D8" s="2">
        <v>2011</v>
      </c>
      <c r="E8" s="2">
        <v>2012</v>
      </c>
      <c r="F8" s="2">
        <v>2013</v>
      </c>
      <c r="G8" s="2">
        <v>2014</v>
      </c>
      <c r="H8" s="2">
        <v>2015</v>
      </c>
      <c r="I8" s="2">
        <v>2016</v>
      </c>
      <c r="J8" s="2">
        <v>2017</v>
      </c>
      <c r="K8" s="2">
        <v>2018</v>
      </c>
      <c r="L8" s="2">
        <v>2019</v>
      </c>
      <c r="M8" s="2">
        <v>2020</v>
      </c>
      <c r="N8" s="2">
        <v>2021</v>
      </c>
      <c r="O8" s="2">
        <v>2022</v>
      </c>
    </row>
    <row r="9" spans="1:15">
      <c r="A9" s="14" t="s">
        <v>275</v>
      </c>
      <c r="B9" s="13">
        <v>64.209382358268428</v>
      </c>
      <c r="C9" s="13">
        <v>66.400000000000006</v>
      </c>
      <c r="D9" s="13">
        <v>69.5</v>
      </c>
      <c r="E9" s="13">
        <v>72</v>
      </c>
      <c r="F9" s="13">
        <v>73.599999999999994</v>
      </c>
      <c r="G9" s="13">
        <v>76.099999999999994</v>
      </c>
      <c r="H9" s="13">
        <v>77.599999999999994</v>
      </c>
      <c r="I9" s="13">
        <v>79.599999999999994</v>
      </c>
      <c r="J9" s="13">
        <v>78.5</v>
      </c>
      <c r="K9" s="13">
        <v>79.099999999999994</v>
      </c>
      <c r="L9" s="13">
        <v>78.400000000000006</v>
      </c>
      <c r="M9" s="13">
        <v>79.3</v>
      </c>
      <c r="N9" s="13">
        <v>77.900000000000006</v>
      </c>
      <c r="O9" s="13">
        <v>72.2</v>
      </c>
    </row>
    <row r="19" spans="1:15" ht="13.15">
      <c r="A19" s="2"/>
    </row>
    <row r="20" spans="1:15" ht="15" customHeight="1">
      <c r="A20" s="2"/>
    </row>
    <row r="21" spans="1:15" ht="13.15">
      <c r="A21" s="2"/>
    </row>
    <row r="22" spans="1:15">
      <c r="F22" s="52"/>
      <c r="G22" s="52"/>
      <c r="H22" s="52"/>
    </row>
    <row r="23" spans="1:15" ht="13.15">
      <c r="A23" s="53"/>
      <c r="B23" s="12"/>
      <c r="C23" s="12"/>
      <c r="D23" s="12"/>
      <c r="E23" s="12"/>
      <c r="F23" s="2"/>
      <c r="I23" s="8"/>
      <c r="J23" s="8"/>
      <c r="K23" s="8"/>
      <c r="L23" s="8"/>
      <c r="M23" s="8"/>
      <c r="N23" s="8"/>
      <c r="O23" s="8"/>
    </row>
    <row r="24" spans="1:15">
      <c r="A24" s="53"/>
      <c r="B24" s="54"/>
      <c r="C24" s="54"/>
      <c r="D24" s="54"/>
      <c r="E24" s="54"/>
      <c r="F24" s="8"/>
    </row>
    <row r="25" spans="1:15">
      <c r="A25" s="53"/>
      <c r="B25" s="54"/>
      <c r="C25" s="54"/>
      <c r="D25" s="54"/>
      <c r="E25" s="54"/>
      <c r="F25" s="8"/>
    </row>
    <row r="26" spans="1:15" ht="13.5" customHeight="1">
      <c r="A26" s="53"/>
      <c r="B26" s="54"/>
      <c r="C26" s="54"/>
      <c r="D26" s="54"/>
      <c r="E26" s="54"/>
      <c r="F26" s="8"/>
    </row>
    <row r="27" spans="1:15">
      <c r="A27" s="53"/>
      <c r="B27" s="54"/>
      <c r="C27" s="54"/>
      <c r="D27" s="54"/>
      <c r="E27" s="54"/>
      <c r="F27" s="8"/>
    </row>
    <row r="28" spans="1:15">
      <c r="A28" s="53"/>
      <c r="B28" s="54"/>
      <c r="C28" s="54"/>
      <c r="D28" s="54"/>
      <c r="E28" s="54"/>
      <c r="F28" s="8"/>
    </row>
    <row r="29" spans="1:15">
      <c r="A29" s="53"/>
      <c r="B29" s="54"/>
      <c r="C29" s="54"/>
      <c r="D29" s="54"/>
      <c r="E29" s="54"/>
      <c r="F29" s="8"/>
    </row>
    <row r="30" spans="1:15">
      <c r="A30" s="53"/>
      <c r="B30" s="54"/>
      <c r="C30" s="54"/>
      <c r="D30" s="54"/>
      <c r="E30" s="54"/>
      <c r="F30" s="8"/>
    </row>
    <row r="31" spans="1:15">
      <c r="A31" s="53"/>
      <c r="B31" s="54"/>
      <c r="C31" s="54"/>
      <c r="D31" s="54"/>
      <c r="E31" s="54"/>
      <c r="F31" s="8"/>
    </row>
    <row r="32" spans="1:15">
      <c r="A32" s="53"/>
      <c r="B32" s="54"/>
      <c r="C32" s="54"/>
      <c r="D32" s="54"/>
      <c r="E32" s="54"/>
      <c r="F32" s="8"/>
    </row>
    <row r="33" spans="1:9">
      <c r="A33" s="53"/>
      <c r="B33" s="54"/>
      <c r="C33" s="54"/>
      <c r="D33" s="54"/>
      <c r="E33" s="54"/>
    </row>
    <row r="34" spans="1:9">
      <c r="A34" s="53"/>
      <c r="B34" s="54"/>
      <c r="C34" s="54"/>
      <c r="D34" s="54"/>
      <c r="E34" s="54"/>
    </row>
    <row r="35" spans="1:9">
      <c r="A35" s="53"/>
      <c r="B35" s="54"/>
      <c r="C35" s="54"/>
      <c r="D35" s="54"/>
      <c r="E35" s="54"/>
      <c r="F35" s="8"/>
    </row>
    <row r="36" spans="1:9">
      <c r="A36" s="53"/>
      <c r="B36" s="54"/>
      <c r="C36" s="54"/>
      <c r="D36" s="54"/>
      <c r="E36" s="54"/>
      <c r="F36" s="8"/>
    </row>
    <row r="37" spans="1:9" ht="13.5" customHeight="1">
      <c r="A37" s="53"/>
      <c r="B37" s="54"/>
      <c r="C37" s="54"/>
      <c r="D37" s="54"/>
      <c r="E37" s="54"/>
      <c r="F37" s="33"/>
      <c r="G37" s="52"/>
      <c r="H37" s="52"/>
      <c r="I37" s="8"/>
    </row>
    <row r="38" spans="1:9" ht="13.15">
      <c r="A38" s="56"/>
      <c r="B38" s="33"/>
      <c r="C38" s="33"/>
      <c r="D38" s="33"/>
      <c r="E38" s="33"/>
      <c r="F38" s="52"/>
      <c r="G38" s="52"/>
      <c r="H38" s="52"/>
    </row>
    <row r="39" spans="1:9">
      <c r="A39" s="53"/>
      <c r="B39" s="54"/>
      <c r="C39" s="54"/>
      <c r="D39" s="54"/>
      <c r="E39" s="54"/>
      <c r="F39" s="52"/>
      <c r="G39" s="52"/>
      <c r="H39" s="52"/>
    </row>
  </sheetData>
  <phoneticPr fontId="2" type="noConversion"/>
  <hyperlinks>
    <hyperlink ref="A1" location="Index!A1" display="Return to Index" xr:uid="{00000000-0004-0000-0500-000000000000}"/>
  </hyperlinks>
  <pageMargins left="0.75" right="0.75" top="1" bottom="1" header="0.5" footer="0.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5"/>
  <sheetViews>
    <sheetView workbookViewId="0"/>
  </sheetViews>
  <sheetFormatPr defaultRowHeight="12.75"/>
  <cols>
    <col min="1" max="1" width="52.53125" customWidth="1"/>
    <col min="4" max="4" width="9.6640625" customWidth="1"/>
  </cols>
  <sheetData>
    <row r="1" spans="1:18">
      <c r="A1" s="1" t="s">
        <v>106</v>
      </c>
    </row>
    <row r="3" spans="1:18" ht="17.649999999999999">
      <c r="A3" s="96" t="s">
        <v>183</v>
      </c>
      <c r="B3" s="84"/>
      <c r="C3" s="84"/>
      <c r="D3" s="84"/>
      <c r="E3" s="84"/>
      <c r="F3" s="84"/>
      <c r="G3" s="84"/>
      <c r="H3" s="84"/>
    </row>
    <row r="5" spans="1:18" ht="13.15">
      <c r="A5" s="85" t="s">
        <v>65</v>
      </c>
      <c r="B5" s="84"/>
      <c r="C5" s="173" t="s">
        <v>188</v>
      </c>
      <c r="D5" s="173"/>
      <c r="E5" s="173"/>
      <c r="F5" s="84"/>
    </row>
    <row r="6" spans="1:18" ht="13.15">
      <c r="A6" s="85" t="s">
        <v>189</v>
      </c>
      <c r="B6" s="84"/>
      <c r="C6" s="173" t="s">
        <v>31</v>
      </c>
      <c r="D6" s="173"/>
      <c r="E6" s="173"/>
      <c r="F6" s="84"/>
    </row>
    <row r="7" spans="1:18">
      <c r="A7" t="s">
        <v>526</v>
      </c>
    </row>
    <row r="8" spans="1:18" ht="13.15">
      <c r="A8" s="2"/>
      <c r="B8" s="2">
        <v>2007</v>
      </c>
      <c r="C8" s="2">
        <v>2008</v>
      </c>
      <c r="D8" s="2">
        <v>2009</v>
      </c>
      <c r="E8" s="2">
        <v>2010</v>
      </c>
      <c r="F8" s="2">
        <v>2011</v>
      </c>
      <c r="G8" s="2">
        <v>2012</v>
      </c>
      <c r="H8" s="2">
        <v>2013</v>
      </c>
      <c r="I8" s="2">
        <v>2014</v>
      </c>
      <c r="J8" s="2">
        <v>2015</v>
      </c>
      <c r="K8" s="2">
        <v>2016</v>
      </c>
      <c r="L8" s="2">
        <v>2017</v>
      </c>
      <c r="M8" s="2">
        <v>2018</v>
      </c>
      <c r="N8" s="2">
        <v>2019</v>
      </c>
      <c r="O8" s="2">
        <v>2020</v>
      </c>
      <c r="P8" s="2">
        <v>2021</v>
      </c>
      <c r="Q8" s="2">
        <v>2022</v>
      </c>
      <c r="R8" s="2">
        <v>2023</v>
      </c>
    </row>
    <row r="9" spans="1:18">
      <c r="A9" s="14" t="s">
        <v>385</v>
      </c>
      <c r="B9" s="13">
        <v>20.5</v>
      </c>
      <c r="C9" s="13">
        <v>18.600000000000001</v>
      </c>
      <c r="D9" s="13">
        <v>20.5</v>
      </c>
      <c r="E9" s="13">
        <v>17.7</v>
      </c>
      <c r="F9" s="13">
        <v>18.3</v>
      </c>
      <c r="G9" s="13">
        <v>20.100000000000001</v>
      </c>
      <c r="H9" s="13">
        <v>17.2</v>
      </c>
      <c r="I9" s="13">
        <v>20.3</v>
      </c>
      <c r="J9" s="13">
        <v>18.899999999999999</v>
      </c>
      <c r="K9" s="13">
        <v>20.399999999999999</v>
      </c>
      <c r="L9" s="13">
        <v>19.899999999999999</v>
      </c>
      <c r="M9">
        <v>20.2</v>
      </c>
      <c r="N9">
        <v>19.600000000000001</v>
      </c>
      <c r="O9" s="13">
        <v>20.6</v>
      </c>
      <c r="P9">
        <v>19.899999999999999</v>
      </c>
      <c r="Q9" s="209"/>
      <c r="R9">
        <v>22.3</v>
      </c>
    </row>
    <row r="15" spans="1:18" ht="12.75" customHeight="1"/>
  </sheetData>
  <phoneticPr fontId="2" type="noConversion"/>
  <hyperlinks>
    <hyperlink ref="A1" location="Index!A1" display="Return to Index" xr:uid="{00000000-0004-0000-0600-000000000000}"/>
  </hyperlinks>
  <pageMargins left="0.75" right="0.75" top="1" bottom="1" header="0.5" footer="0.5"/>
  <pageSetup paperSize="9"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56"/>
  <sheetViews>
    <sheetView workbookViewId="0"/>
  </sheetViews>
  <sheetFormatPr defaultRowHeight="12.75"/>
  <cols>
    <col min="1" max="1" width="22.53125" customWidth="1"/>
  </cols>
  <sheetData>
    <row r="1" spans="1:21">
      <c r="A1" s="1" t="s">
        <v>106</v>
      </c>
    </row>
    <row r="3" spans="1:21" ht="17.649999999999999">
      <c r="A3" s="96" t="s">
        <v>183</v>
      </c>
      <c r="B3" s="84"/>
      <c r="C3" s="84"/>
      <c r="D3" s="84"/>
      <c r="E3" s="84"/>
      <c r="F3" s="84"/>
      <c r="G3" s="84"/>
    </row>
    <row r="5" spans="1:21" ht="13.15">
      <c r="A5" s="85" t="s">
        <v>159</v>
      </c>
      <c r="B5" s="91"/>
      <c r="C5" s="91"/>
      <c r="D5" s="173" t="s">
        <v>206</v>
      </c>
      <c r="E5" s="173"/>
      <c r="F5" s="173"/>
      <c r="G5" s="84"/>
    </row>
    <row r="6" spans="1:21" ht="13.15">
      <c r="A6" s="2" t="s">
        <v>342</v>
      </c>
      <c r="B6" s="91"/>
      <c r="C6" s="91"/>
      <c r="D6" s="173" t="s">
        <v>31</v>
      </c>
      <c r="E6" s="173"/>
      <c r="F6" s="173"/>
      <c r="G6" s="84"/>
    </row>
    <row r="7" spans="1:21" ht="13.15">
      <c r="A7" s="2" t="s">
        <v>343</v>
      </c>
      <c r="B7" s="91"/>
      <c r="C7" s="91"/>
      <c r="D7" s="86"/>
      <c r="E7" s="86"/>
      <c r="F7" s="86"/>
      <c r="G7" s="84"/>
    </row>
    <row r="8" spans="1:21">
      <c r="A8" s="92" t="s">
        <v>207</v>
      </c>
    </row>
    <row r="10" spans="1:21" ht="13.15">
      <c r="B10" s="2">
        <v>2007</v>
      </c>
      <c r="C10" s="2">
        <v>2008</v>
      </c>
      <c r="D10" s="2">
        <v>2009</v>
      </c>
      <c r="E10" s="2">
        <v>2010</v>
      </c>
      <c r="F10" s="2">
        <v>2011</v>
      </c>
      <c r="G10" s="2">
        <v>2012</v>
      </c>
      <c r="H10" s="2">
        <v>2013</v>
      </c>
      <c r="I10" s="2">
        <v>2014</v>
      </c>
      <c r="J10" s="2">
        <v>2015</v>
      </c>
      <c r="K10" s="2">
        <v>2016</v>
      </c>
      <c r="L10" s="2">
        <v>2017</v>
      </c>
      <c r="M10" s="2">
        <v>2018</v>
      </c>
      <c r="N10" s="2">
        <v>2019</v>
      </c>
      <c r="O10" s="2">
        <v>2020</v>
      </c>
      <c r="P10" s="2">
        <v>2021</v>
      </c>
      <c r="Q10" s="2">
        <v>2022</v>
      </c>
      <c r="R10" s="2">
        <v>2023</v>
      </c>
    </row>
    <row r="11" spans="1:21">
      <c r="A11" s="14" t="s">
        <v>208</v>
      </c>
      <c r="B11" s="22">
        <v>0.35107619309999999</v>
      </c>
      <c r="C11" s="22">
        <v>0.4008313489</v>
      </c>
      <c r="D11" s="22">
        <v>0.31539996650000002</v>
      </c>
      <c r="E11" s="22">
        <v>0.35549977939999999</v>
      </c>
      <c r="F11" s="22">
        <v>0.39271483140000002</v>
      </c>
      <c r="G11" s="22">
        <v>0.412406151</v>
      </c>
      <c r="H11" s="22">
        <v>0.341751201</v>
      </c>
      <c r="I11" s="22">
        <v>0.37529659230000001</v>
      </c>
      <c r="J11" s="22">
        <v>0.44396520369999998</v>
      </c>
      <c r="K11" s="22">
        <v>0.41291360220000001</v>
      </c>
      <c r="L11" s="22">
        <v>0.41658550750000001</v>
      </c>
      <c r="M11" s="22">
        <v>0.39489459529999998</v>
      </c>
      <c r="N11" s="22">
        <v>0.41007544689999997</v>
      </c>
      <c r="O11" s="22">
        <v>0.38169096650000001</v>
      </c>
      <c r="P11" s="22">
        <v>0.36166111379999999</v>
      </c>
      <c r="Q11" s="22">
        <v>0.3545802851</v>
      </c>
      <c r="R11" s="22">
        <v>0.39102622770000001</v>
      </c>
    </row>
    <row r="16" spans="1:21">
      <c r="U16" s="22"/>
    </row>
    <row r="17" spans="21:21">
      <c r="U17" s="22"/>
    </row>
    <row r="18" spans="21:21">
      <c r="U18" s="22"/>
    </row>
    <row r="19" spans="21:21">
      <c r="U19" s="22"/>
    </row>
    <row r="20" spans="21:21">
      <c r="U20" s="22"/>
    </row>
    <row r="21" spans="21:21">
      <c r="U21" s="22"/>
    </row>
    <row r="22" spans="21:21">
      <c r="U22" s="22"/>
    </row>
    <row r="23" spans="21:21">
      <c r="U23" s="22"/>
    </row>
    <row r="24" spans="21:21">
      <c r="U24" s="22"/>
    </row>
    <row r="25" spans="21:21">
      <c r="U25" s="22"/>
    </row>
    <row r="26" spans="21:21">
      <c r="U26" s="22"/>
    </row>
    <row r="27" spans="21:21">
      <c r="U27" s="22"/>
    </row>
    <row r="28" spans="21:21">
      <c r="U28" s="22"/>
    </row>
    <row r="29" spans="21:21">
      <c r="U29" s="22"/>
    </row>
    <row r="30" spans="21:21">
      <c r="U30" s="22"/>
    </row>
    <row r="34" spans="1:3" ht="13.15" thickBot="1"/>
    <row r="35" spans="1:3" ht="13.5" thickBot="1">
      <c r="B35" s="73"/>
      <c r="C35" s="73"/>
    </row>
    <row r="36" spans="1:3" ht="13.15" thickBot="1">
      <c r="B36" s="74"/>
      <c r="C36" s="75"/>
    </row>
    <row r="37" spans="1:3" ht="13.15" thickBot="1">
      <c r="B37" s="74"/>
      <c r="C37" s="75"/>
    </row>
    <row r="38" spans="1:3" ht="13.15" thickBot="1">
      <c r="A38" s="75"/>
    </row>
    <row r="39" spans="1:3" ht="13.15" thickBot="1">
      <c r="A39" s="75"/>
    </row>
    <row r="40" spans="1:3" ht="13.15" thickBot="1">
      <c r="A40" s="75"/>
    </row>
    <row r="41" spans="1:3" ht="13.15" thickBot="1">
      <c r="A41" s="75"/>
    </row>
    <row r="42" spans="1:3" ht="13.15" thickBot="1">
      <c r="A42" s="75"/>
    </row>
    <row r="43" spans="1:3" ht="13.15" thickBot="1">
      <c r="A43" s="75"/>
    </row>
    <row r="44" spans="1:3" ht="13.15" thickBot="1">
      <c r="A44" s="75"/>
    </row>
    <row r="56" ht="12.75" customHeight="1"/>
  </sheetData>
  <phoneticPr fontId="2" type="noConversion"/>
  <hyperlinks>
    <hyperlink ref="A1" location="Index!A1" display="Return to Index" xr:uid="{00000000-0004-0000-1400-000000000000}"/>
  </hyperlinks>
  <pageMargins left="0.75" right="0.75" top="1" bottom="1" header="0.5" footer="0.5"/>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2"/>
  <sheetViews>
    <sheetView workbookViewId="0"/>
  </sheetViews>
  <sheetFormatPr defaultRowHeight="12.75"/>
  <cols>
    <col min="1" max="1" width="29.6640625" customWidth="1"/>
    <col min="2" max="6" width="10.86328125" customWidth="1"/>
  </cols>
  <sheetData>
    <row r="1" spans="1:8">
      <c r="A1" s="1" t="s">
        <v>106</v>
      </c>
    </row>
    <row r="3" spans="1:8" ht="17.649999999999999">
      <c r="A3" s="96" t="s">
        <v>183</v>
      </c>
      <c r="B3" s="84"/>
      <c r="C3" s="84"/>
      <c r="D3" s="84"/>
      <c r="E3" s="84"/>
      <c r="F3" s="84"/>
      <c r="G3" s="84"/>
      <c r="H3" s="84"/>
    </row>
    <row r="5" spans="1:8" ht="13.15">
      <c r="A5" s="85" t="s">
        <v>69</v>
      </c>
      <c r="B5" s="84"/>
      <c r="C5" s="84"/>
      <c r="D5" s="84"/>
      <c r="E5" s="173" t="s">
        <v>193</v>
      </c>
      <c r="F5" s="173"/>
      <c r="G5" s="173"/>
    </row>
    <row r="6" spans="1:8" ht="13.15">
      <c r="A6" s="85" t="s">
        <v>29</v>
      </c>
      <c r="B6" s="84"/>
      <c r="C6" s="84"/>
      <c r="D6" s="84"/>
      <c r="E6" s="173" t="s">
        <v>31</v>
      </c>
      <c r="F6" s="173"/>
      <c r="G6" s="173"/>
    </row>
    <row r="8" spans="1:8">
      <c r="B8" s="11" t="s">
        <v>107</v>
      </c>
      <c r="C8" s="11" t="s">
        <v>108</v>
      </c>
      <c r="D8" s="11" t="s">
        <v>109</v>
      </c>
      <c r="E8" s="11" t="s">
        <v>133</v>
      </c>
      <c r="F8" s="90" t="s">
        <v>174</v>
      </c>
      <c r="G8" s="167" t="s">
        <v>462</v>
      </c>
    </row>
    <row r="9" spans="1:8">
      <c r="A9" s="14" t="s">
        <v>194</v>
      </c>
      <c r="B9" s="13">
        <v>75.5</v>
      </c>
      <c r="C9" s="13">
        <v>77.2</v>
      </c>
      <c r="D9" s="13">
        <v>78.5</v>
      </c>
      <c r="E9" s="13">
        <v>79.800000000000011</v>
      </c>
      <c r="F9" s="13">
        <v>80.95</v>
      </c>
      <c r="G9" s="13">
        <v>81.349999999999994</v>
      </c>
    </row>
    <row r="22" spans="2:2">
      <c r="B22" s="14"/>
    </row>
  </sheetData>
  <phoneticPr fontId="2" type="noConversion"/>
  <hyperlinks>
    <hyperlink ref="A1" location="Index!A1" display="Return to Index" xr:uid="{00000000-0004-0000-0A00-000000000000}"/>
  </hyperlink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9"/>
  <sheetViews>
    <sheetView workbookViewId="0"/>
  </sheetViews>
  <sheetFormatPr defaultRowHeight="12.75"/>
  <cols>
    <col min="1" max="1" width="16" customWidth="1"/>
    <col min="2" max="2" width="21" customWidth="1"/>
    <col min="3" max="3" width="21.1328125" customWidth="1"/>
    <col min="4" max="5" width="9.33203125" customWidth="1"/>
    <col min="6" max="6" width="15.6640625" customWidth="1"/>
    <col min="7" max="9" width="4.46484375" customWidth="1"/>
  </cols>
  <sheetData>
    <row r="1" spans="1:9" ht="17.649999999999999">
      <c r="A1" s="83" t="s">
        <v>377</v>
      </c>
    </row>
    <row r="3" spans="1:9" ht="17.649999999999999">
      <c r="A3" s="83" t="s">
        <v>183</v>
      </c>
    </row>
    <row r="5" spans="1:9">
      <c r="C5" s="1" t="s">
        <v>173</v>
      </c>
    </row>
    <row r="6" spans="1:9">
      <c r="C6" s="1"/>
    </row>
    <row r="7" spans="1:9">
      <c r="C7" s="1" t="s">
        <v>494</v>
      </c>
    </row>
    <row r="8" spans="1:9">
      <c r="C8" s="1" t="s">
        <v>495</v>
      </c>
    </row>
    <row r="9" spans="1:9">
      <c r="C9" s="1" t="s">
        <v>496</v>
      </c>
    </row>
    <row r="11" spans="1:9" ht="13.15">
      <c r="C11" s="2" t="s">
        <v>182</v>
      </c>
    </row>
    <row r="13" spans="1:9" ht="13.15">
      <c r="A13" s="2" t="s">
        <v>168</v>
      </c>
      <c r="B13" s="2" t="s">
        <v>30</v>
      </c>
      <c r="C13" s="2" t="s">
        <v>132</v>
      </c>
      <c r="D13" s="2"/>
    </row>
    <row r="14" spans="1:9" ht="13.15">
      <c r="A14" s="21" t="s">
        <v>32</v>
      </c>
      <c r="B14" t="s">
        <v>158</v>
      </c>
      <c r="C14" s="168" t="s">
        <v>40</v>
      </c>
      <c r="F14" s="184" t="s">
        <v>464</v>
      </c>
      <c r="G14" s="185" t="s">
        <v>465</v>
      </c>
      <c r="H14" s="185" t="s">
        <v>466</v>
      </c>
      <c r="I14" s="186" t="s">
        <v>467</v>
      </c>
    </row>
    <row r="15" spans="1:9">
      <c r="A15" s="21" t="s">
        <v>32</v>
      </c>
      <c r="B15" t="s">
        <v>160</v>
      </c>
      <c r="C15" s="168" t="s">
        <v>160</v>
      </c>
      <c r="F15" s="187" t="s">
        <v>468</v>
      </c>
      <c r="G15" s="188"/>
      <c r="H15" s="188"/>
      <c r="I15" s="189"/>
    </row>
    <row r="16" spans="1:9">
      <c r="A16" s="21" t="s">
        <v>32</v>
      </c>
      <c r="B16" t="s">
        <v>158</v>
      </c>
      <c r="C16" s="168" t="s">
        <v>38</v>
      </c>
      <c r="F16" s="190" t="s">
        <v>470</v>
      </c>
      <c r="G16" s="188">
        <v>64</v>
      </c>
      <c r="H16" s="188">
        <v>176</v>
      </c>
      <c r="I16" s="189">
        <v>255</v>
      </c>
    </row>
    <row r="17" spans="1:9">
      <c r="A17" t="s">
        <v>32</v>
      </c>
      <c r="B17" t="s">
        <v>110</v>
      </c>
      <c r="C17" s="168" t="s">
        <v>37</v>
      </c>
      <c r="F17" s="190" t="s">
        <v>469</v>
      </c>
      <c r="G17" s="188">
        <v>140</v>
      </c>
      <c r="H17" s="188">
        <v>208</v>
      </c>
      <c r="I17" s="189">
        <v>255</v>
      </c>
    </row>
    <row r="18" spans="1:9">
      <c r="A18" s="21" t="s">
        <v>32</v>
      </c>
      <c r="B18" t="s">
        <v>161</v>
      </c>
      <c r="C18" s="168" t="s">
        <v>71</v>
      </c>
      <c r="F18" s="190" t="s">
        <v>471</v>
      </c>
      <c r="G18" s="188">
        <v>198</v>
      </c>
      <c r="H18" s="188">
        <v>231</v>
      </c>
      <c r="I18" s="189">
        <v>255</v>
      </c>
    </row>
    <row r="19" spans="1:9">
      <c r="A19" t="s">
        <v>31</v>
      </c>
      <c r="B19" t="s">
        <v>167</v>
      </c>
      <c r="C19" s="169" t="s">
        <v>83</v>
      </c>
      <c r="F19" s="187" t="s">
        <v>472</v>
      </c>
      <c r="G19" s="188"/>
      <c r="H19" s="188"/>
      <c r="I19" s="189"/>
    </row>
    <row r="20" spans="1:9">
      <c r="A20" t="s">
        <v>31</v>
      </c>
      <c r="B20" t="s">
        <v>155</v>
      </c>
      <c r="C20" s="169" t="s">
        <v>34</v>
      </c>
      <c r="F20" s="190" t="s">
        <v>473</v>
      </c>
      <c r="G20" s="188">
        <v>107</v>
      </c>
      <c r="H20" s="188">
        <v>46</v>
      </c>
      <c r="I20" s="189">
        <v>143</v>
      </c>
    </row>
    <row r="21" spans="1:9">
      <c r="A21" t="s">
        <v>31</v>
      </c>
      <c r="B21" t="s">
        <v>169</v>
      </c>
      <c r="C21" s="169" t="s">
        <v>14</v>
      </c>
      <c r="F21" s="190" t="s">
        <v>474</v>
      </c>
      <c r="G21" s="188">
        <v>166</v>
      </c>
      <c r="H21" s="188">
        <v>130</v>
      </c>
      <c r="I21" s="189">
        <v>188</v>
      </c>
    </row>
    <row r="22" spans="1:9">
      <c r="A22" t="s">
        <v>31</v>
      </c>
      <c r="B22" t="s">
        <v>157</v>
      </c>
      <c r="C22" s="169" t="s">
        <v>39</v>
      </c>
      <c r="F22" s="190" t="s">
        <v>475</v>
      </c>
      <c r="G22" s="188">
        <v>225</v>
      </c>
      <c r="H22" s="188">
        <v>213</v>
      </c>
      <c r="I22" s="189">
        <v>233</v>
      </c>
    </row>
    <row r="23" spans="1:9">
      <c r="A23" t="s">
        <v>31</v>
      </c>
      <c r="B23" t="s">
        <v>151</v>
      </c>
      <c r="C23" s="169" t="s">
        <v>68</v>
      </c>
      <c r="F23" s="187" t="s">
        <v>476</v>
      </c>
      <c r="G23" s="188"/>
      <c r="H23" s="188"/>
      <c r="I23" s="189"/>
    </row>
    <row r="24" spans="1:9">
      <c r="A24" t="s">
        <v>31</v>
      </c>
      <c r="B24" t="s">
        <v>152</v>
      </c>
      <c r="C24" s="169" t="s">
        <v>65</v>
      </c>
      <c r="F24" s="190" t="s">
        <v>477</v>
      </c>
      <c r="G24" s="188">
        <v>255</v>
      </c>
      <c r="H24" s="188">
        <v>130</v>
      </c>
      <c r="I24" s="189">
        <v>51</v>
      </c>
    </row>
    <row r="25" spans="1:9">
      <c r="A25" t="s">
        <v>31</v>
      </c>
      <c r="B25" t="s">
        <v>158</v>
      </c>
      <c r="C25" s="169" t="s">
        <v>159</v>
      </c>
      <c r="F25" s="190" t="s">
        <v>478</v>
      </c>
      <c r="G25" s="188">
        <v>255</v>
      </c>
      <c r="H25" s="188">
        <v>180</v>
      </c>
      <c r="I25" s="189">
        <v>133</v>
      </c>
    </row>
    <row r="26" spans="1:9">
      <c r="A26" t="s">
        <v>31</v>
      </c>
      <c r="B26" t="s">
        <v>153</v>
      </c>
      <c r="C26" s="169" t="s">
        <v>69</v>
      </c>
      <c r="F26" s="191" t="s">
        <v>479</v>
      </c>
      <c r="G26" s="192">
        <v>255</v>
      </c>
      <c r="H26" s="192">
        <v>230</v>
      </c>
      <c r="I26" s="193">
        <v>214</v>
      </c>
    </row>
    <row r="27" spans="1:9">
      <c r="A27" t="s">
        <v>31</v>
      </c>
      <c r="B27" t="s">
        <v>154</v>
      </c>
      <c r="C27" s="169" t="s">
        <v>154</v>
      </c>
    </row>
    <row r="28" spans="1:9">
      <c r="A28" t="s">
        <v>31</v>
      </c>
      <c r="B28" t="s">
        <v>153</v>
      </c>
      <c r="C28" s="169" t="s">
        <v>67</v>
      </c>
    </row>
    <row r="29" spans="1:9">
      <c r="A29" t="s">
        <v>31</v>
      </c>
      <c r="B29" t="s">
        <v>169</v>
      </c>
      <c r="C29" s="169" t="s">
        <v>111</v>
      </c>
    </row>
    <row r="30" spans="1:9">
      <c r="A30" t="s">
        <v>31</v>
      </c>
      <c r="B30" t="s">
        <v>156</v>
      </c>
      <c r="C30" s="169" t="s">
        <v>35</v>
      </c>
    </row>
    <row r="31" spans="1:9">
      <c r="A31" t="s">
        <v>31</v>
      </c>
      <c r="B31" t="s">
        <v>149</v>
      </c>
      <c r="C31" s="169" t="s">
        <v>70</v>
      </c>
    </row>
    <row r="32" spans="1:9">
      <c r="A32" t="s">
        <v>31</v>
      </c>
      <c r="B32" t="s">
        <v>169</v>
      </c>
      <c r="C32" s="169" t="s">
        <v>140</v>
      </c>
    </row>
    <row r="33" spans="1:3">
      <c r="A33" t="s">
        <v>31</v>
      </c>
      <c r="B33" t="s">
        <v>155</v>
      </c>
      <c r="C33" s="169" t="s">
        <v>155</v>
      </c>
    </row>
    <row r="34" spans="1:3">
      <c r="A34" t="s">
        <v>31</v>
      </c>
      <c r="B34" t="s">
        <v>157</v>
      </c>
      <c r="C34" s="169" t="s">
        <v>36</v>
      </c>
    </row>
    <row r="35" spans="1:3">
      <c r="A35" t="s">
        <v>31</v>
      </c>
      <c r="B35" t="s">
        <v>167</v>
      </c>
      <c r="C35" s="169" t="s">
        <v>82</v>
      </c>
    </row>
    <row r="36" spans="1:3">
      <c r="A36" t="s">
        <v>33</v>
      </c>
      <c r="B36" t="s">
        <v>163</v>
      </c>
      <c r="C36" s="170" t="s">
        <v>18</v>
      </c>
    </row>
    <row r="37" spans="1:3">
      <c r="A37" t="s">
        <v>33</v>
      </c>
      <c r="B37" t="s">
        <v>165</v>
      </c>
      <c r="C37" s="170" t="s">
        <v>360</v>
      </c>
    </row>
    <row r="38" spans="1:3">
      <c r="A38" t="s">
        <v>33</v>
      </c>
      <c r="B38" t="s">
        <v>148</v>
      </c>
      <c r="C38" s="170" t="s">
        <v>129</v>
      </c>
    </row>
    <row r="39" spans="1:3">
      <c r="A39" t="s">
        <v>33</v>
      </c>
      <c r="B39" t="s">
        <v>163</v>
      </c>
      <c r="C39" s="170" t="s">
        <v>80</v>
      </c>
    </row>
    <row r="40" spans="1:3">
      <c r="A40" t="s">
        <v>33</v>
      </c>
      <c r="B40" t="s">
        <v>164</v>
      </c>
      <c r="C40" s="170" t="s">
        <v>278</v>
      </c>
    </row>
    <row r="41" spans="1:3">
      <c r="A41" t="s">
        <v>33</v>
      </c>
      <c r="B41" t="s">
        <v>166</v>
      </c>
      <c r="C41" s="170" t="s">
        <v>72</v>
      </c>
    </row>
    <row r="42" spans="1:3">
      <c r="A42" t="s">
        <v>33</v>
      </c>
      <c r="B42" t="s">
        <v>85</v>
      </c>
      <c r="C42" s="170" t="s">
        <v>493</v>
      </c>
    </row>
    <row r="43" spans="1:3">
      <c r="A43" t="s">
        <v>33</v>
      </c>
      <c r="B43" t="s">
        <v>85</v>
      </c>
      <c r="C43" s="170" t="s">
        <v>41</v>
      </c>
    </row>
    <row r="44" spans="1:3">
      <c r="A44" t="s">
        <v>33</v>
      </c>
      <c r="B44" t="s">
        <v>85</v>
      </c>
      <c r="C44" s="170" t="s">
        <v>162</v>
      </c>
    </row>
    <row r="45" spans="1:3">
      <c r="A45" t="s">
        <v>33</v>
      </c>
      <c r="B45" t="s">
        <v>166</v>
      </c>
      <c r="C45" s="170" t="s">
        <v>166</v>
      </c>
    </row>
    <row r="47" spans="1:3">
      <c r="C47" s="1"/>
    </row>
    <row r="48" spans="1:3" ht="13.15">
      <c r="C48" s="2" t="s">
        <v>178</v>
      </c>
    </row>
    <row r="49" spans="1:3">
      <c r="A49" s="26"/>
      <c r="C49" s="1" t="s">
        <v>45</v>
      </c>
    </row>
    <row r="50" spans="1:3">
      <c r="A50" s="26"/>
      <c r="C50" s="1"/>
    </row>
    <row r="51" spans="1:3">
      <c r="C51" s="1" t="s">
        <v>8</v>
      </c>
    </row>
    <row r="52" spans="1:3">
      <c r="C52" s="1" t="s">
        <v>499</v>
      </c>
    </row>
    <row r="53" spans="1:3">
      <c r="C53" s="1" t="s">
        <v>500</v>
      </c>
    </row>
    <row r="54" spans="1:3">
      <c r="C54" s="1" t="s">
        <v>181</v>
      </c>
    </row>
    <row r="55" spans="1:3" ht="13.15">
      <c r="C55" s="2"/>
    </row>
    <row r="56" spans="1:3">
      <c r="A56" s="26"/>
      <c r="C56" s="1" t="s">
        <v>179</v>
      </c>
    </row>
    <row r="57" spans="1:3">
      <c r="A57" s="26"/>
      <c r="C57" s="1" t="s">
        <v>274</v>
      </c>
    </row>
    <row r="58" spans="1:3">
      <c r="A58" s="26"/>
    </row>
    <row r="59" spans="1:3">
      <c r="C59" s="1" t="s">
        <v>371</v>
      </c>
    </row>
  </sheetData>
  <sortState xmlns:xlrd2="http://schemas.microsoft.com/office/spreadsheetml/2017/richdata2" ref="A36:C46">
    <sortCondition ref="C36:C46"/>
  </sortState>
  <phoneticPr fontId="2" type="noConversion"/>
  <hyperlinks>
    <hyperlink ref="C23" location="'Educational attainment'!A1" display="Educational attainment of the adult population" xr:uid="{00000000-0004-0000-0100-000000000000}"/>
    <hyperlink ref="C24" location="'Housing affordability'!A1" display="Housing affordability" xr:uid="{00000000-0004-0000-0100-000001000000}"/>
    <hyperlink ref="C29" location="'Perceptions of safety'!A1" display="Perceptions of safety" xr:uid="{00000000-0004-0000-0100-000002000000}"/>
    <hyperlink ref="C21" location="Crime!A1" display="Crime" xr:uid="{00000000-0004-0000-0100-000003000000}"/>
    <hyperlink ref="C26" location="'Life expectancy'!A1" display="Life expectancy at birth" xr:uid="{00000000-0004-0000-0100-000004000000}"/>
    <hyperlink ref="C28" location="'Perceived health'!A1" display="Perceived health" xr:uid="{00000000-0004-0000-0100-000005000000}"/>
    <hyperlink ref="C27" location="'Life satisfaction'!A1" display="Life satisfaction" xr:uid="{00000000-0004-0000-0100-000006000000}"/>
    <hyperlink ref="C33" location="'Social connectedness'!A1" display="Social connectedness" xr:uid="{00000000-0004-0000-0100-000007000000}"/>
    <hyperlink ref="C20" location="'Community pride'!A1" display="Community pride" xr:uid="{00000000-0004-0000-0100-000008000000}"/>
    <hyperlink ref="C30" location="'Physical activity'!A1" display="Physical activity" xr:uid="{00000000-0004-0000-0100-000009000000}"/>
    <hyperlink ref="C22" location="'Cultural respect'!A1" display="Cultural respect" xr:uid="{00000000-0004-0000-0100-00000A000000}"/>
    <hyperlink ref="C34" location="'Te Reo Māori speakers'!A1" display="Te Reo Māori speakers" xr:uid="{00000000-0004-0000-0100-00000B000000}"/>
    <hyperlink ref="C17" location="'Regional GDP'!A1" display="Regional GDP" xr:uid="{00000000-0004-0000-0100-00000C000000}"/>
    <hyperlink ref="C16" location="Income!A1" display="Income" xr:uid="{00000000-0004-0000-0100-00000D000000}"/>
    <hyperlink ref="C25" location="'Income inequality'!A1" display="Income inequality" xr:uid="{00000000-0004-0000-0100-00000E000000}"/>
    <hyperlink ref="C14" location="'Building activity'!A1" display="Building activity" xr:uid="{00000000-0004-0000-0100-00000F000000}"/>
    <hyperlink ref="C15" location="Employment!A1" display="Employment" xr:uid="{00000000-0004-0000-0100-000010000000}"/>
    <hyperlink ref="C31" location="'Public transport use'!A1" display="Public transport" xr:uid="{00000000-0004-0000-0100-000011000000}"/>
    <hyperlink ref="C18" location="'Water use'!A1" display="Water use" xr:uid="{00000000-0004-0000-0100-000012000000}"/>
    <hyperlink ref="C38" location="'Environmental attitudes'!A1" display="Environmental attitudes" xr:uid="{00000000-0004-0000-0100-000013000000}"/>
    <hyperlink ref="C43" location="'River water quality'!A1" display="River water quality for ecological health" xr:uid="{00000000-0004-0000-0100-000014000000}"/>
    <hyperlink ref="C44" location="'Soil quality'!A1" display="Soil quality" xr:uid="{00000000-0004-0000-0100-000015000000}"/>
    <hyperlink ref="C42" location="'Rural subdivision'!A1" display="Rural subdivision" xr:uid="{00000000-0004-0000-0100-000016000000}"/>
    <hyperlink ref="C36" location="'Air quality'!A1" display="Air quality" xr:uid="{00000000-0004-0000-0100-000017000000}"/>
    <hyperlink ref="C39" location="'Greenhouse gases'!A1" display="Greenhouse gases" xr:uid="{00000000-0004-0000-0100-000018000000}"/>
    <hyperlink ref="C40" location="'Indigenous vegetation'!A1" display="Protected land" xr:uid="{00000000-0004-0000-0100-000019000000}"/>
    <hyperlink ref="C37" location="'Coastal habitats'!A1" display="Coastal habitats" xr:uid="{00000000-0004-0000-0100-00001A000000}"/>
    <hyperlink ref="C45" location="Waste!A1" display="Waste" xr:uid="{00000000-0004-0000-0100-00001B000000}"/>
    <hyperlink ref="C41" location="Recycling!A1" display="Recycling" xr:uid="{00000000-0004-0000-0100-00001C000000}"/>
    <hyperlink ref="C35" location="'Voter turnout'!A1" display="Voter turnout in local elections" xr:uid="{00000000-0004-0000-0100-00001D000000}"/>
    <hyperlink ref="C19" location="'Community engagement'!A1" display="Community engagement" xr:uid="{00000000-0004-0000-0100-00001E000000}"/>
    <hyperlink ref="C49" location="'WPI time series'!A1" display="WPI time series" xr:uid="{00000000-0004-0000-0100-00001F000000}"/>
    <hyperlink ref="C52" location="'WPI Progress Circle long-term'!A1" display="WPI Progress Circle long-term" xr:uid="{00000000-0004-0000-0100-000020000000}"/>
    <hyperlink ref="C32" location="'Road safety'!A1" display="Road safety" xr:uid="{00000000-0004-0000-0100-000021000000}"/>
    <hyperlink ref="C51" location="'WPI Score Card'!A1" display="WPI Score Card" xr:uid="{00000000-0004-0000-0100-000022000000}"/>
    <hyperlink ref="C54" location="'WPI Relative Wellbeing Circle'!A1" display="WPI Relative Wellbeing Circle" xr:uid="{00000000-0004-0000-0100-000023000000}"/>
    <hyperlink ref="C56" location="'NZ and regional comparisons'!A1" display="NZ and regional comparisons" xr:uid="{00000000-0004-0000-0100-000024000000}"/>
    <hyperlink ref="C57" location="'List of secondary indicators'!A1" display="List of secondary indicators" xr:uid="{00000000-0004-0000-0100-000025000000}"/>
    <hyperlink ref="C5" location="'File description'!A1" display="File description" xr:uid="{00000000-0004-0000-0100-000026000000}"/>
    <hyperlink ref="C7" location="'Dashboard page 1'!A1" display="Dashboard page 1" xr:uid="{00000000-0004-0000-0100-000027000000}"/>
    <hyperlink ref="C59" location="'Index of Wellbeing'!A1" display="GDP vs Waikato composite indexes (CIW method)" xr:uid="{00000000-0004-0000-0100-000028000000}"/>
    <hyperlink ref="C8" location="'Dashboard page 2'!A1" display="Dashboard page 2" xr:uid="{4B8EE5C0-9BD9-4EAF-A575-1A8E95E57061}"/>
    <hyperlink ref="C9" location="'Bar graph mock-up'!A1" display="Bar graph mock-up" xr:uid="{F34FA75C-76F4-42D0-BCF0-28E883ACD37E}"/>
    <hyperlink ref="C53" location="'WPI Progress Circle short-term'!A1" display="WPI Progress Circle short-term" xr:uid="{E10E3ADF-433E-4A04-B0DD-B0CBAEE8FF85}"/>
  </hyperlinks>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38"/>
  <sheetViews>
    <sheetView workbookViewId="0"/>
  </sheetViews>
  <sheetFormatPr defaultRowHeight="12.75"/>
  <cols>
    <col min="1" max="1" width="30.6640625" customWidth="1"/>
    <col min="2" max="2" width="21.33203125" customWidth="1"/>
    <col min="3" max="7" width="15.6640625" customWidth="1"/>
  </cols>
  <sheetData>
    <row r="1" spans="1:6">
      <c r="A1" s="1" t="s">
        <v>106</v>
      </c>
    </row>
    <row r="3" spans="1:6" ht="17.649999999999999">
      <c r="A3" s="83" t="s">
        <v>183</v>
      </c>
    </row>
    <row r="5" spans="1:6" ht="13.15">
      <c r="A5" s="85" t="s">
        <v>154</v>
      </c>
      <c r="B5" s="86"/>
      <c r="C5" s="173" t="s">
        <v>186</v>
      </c>
      <c r="D5" s="173"/>
    </row>
    <row r="6" spans="1:6" ht="13.15">
      <c r="A6" s="85" t="s">
        <v>306</v>
      </c>
      <c r="B6" s="86"/>
      <c r="C6" s="173" t="s">
        <v>31</v>
      </c>
      <c r="D6" s="173"/>
    </row>
    <row r="7" spans="1:6">
      <c r="A7" s="21" t="s">
        <v>419</v>
      </c>
    </row>
    <row r="8" spans="1:6">
      <c r="A8" s="21" t="s">
        <v>420</v>
      </c>
    </row>
    <row r="9" spans="1:6" ht="13.15">
      <c r="B9" s="2">
        <v>2006</v>
      </c>
      <c r="C9" s="2">
        <v>2016</v>
      </c>
      <c r="D9" s="2">
        <v>2018</v>
      </c>
      <c r="E9" s="2">
        <v>2020</v>
      </c>
      <c r="F9" s="2">
        <v>2022</v>
      </c>
    </row>
    <row r="10" spans="1:6">
      <c r="A10" s="135" t="s">
        <v>415</v>
      </c>
      <c r="B10" s="61">
        <v>90</v>
      </c>
      <c r="C10" s="61">
        <v>84</v>
      </c>
      <c r="D10" s="61">
        <v>87</v>
      </c>
      <c r="E10" s="21">
        <v>88</v>
      </c>
      <c r="F10" s="61">
        <v>86</v>
      </c>
    </row>
    <row r="11" spans="1:6">
      <c r="A11" s="80"/>
      <c r="B11" s="13"/>
      <c r="C11" s="13"/>
      <c r="D11" s="13"/>
    </row>
    <row r="12" spans="1:6">
      <c r="A12" s="80"/>
      <c r="B12" s="13"/>
      <c r="C12" s="13"/>
      <c r="D12" s="13"/>
    </row>
    <row r="13" spans="1:6">
      <c r="A13" s="80"/>
      <c r="B13" s="13"/>
      <c r="C13" s="13"/>
      <c r="D13" s="13"/>
    </row>
    <row r="14" spans="1:6">
      <c r="A14" s="80"/>
      <c r="B14" s="13"/>
      <c r="C14" s="13"/>
      <c r="D14" s="13"/>
    </row>
    <row r="15" spans="1:6">
      <c r="A15" s="80"/>
      <c r="B15" s="13"/>
      <c r="C15" s="13"/>
      <c r="D15" s="13"/>
    </row>
    <row r="16" spans="1:6">
      <c r="A16" s="80"/>
      <c r="B16" s="13"/>
      <c r="C16" s="13"/>
      <c r="D16" s="13"/>
    </row>
    <row r="17" spans="1:4">
      <c r="A17" s="80"/>
      <c r="B17" s="13"/>
      <c r="C17" s="13"/>
      <c r="D17" s="13"/>
    </row>
    <row r="18" spans="1:4">
      <c r="A18" s="80"/>
      <c r="B18" s="13"/>
      <c r="C18" s="13"/>
      <c r="D18" s="13"/>
    </row>
    <row r="19" spans="1:4">
      <c r="A19" s="80"/>
      <c r="B19" s="13"/>
      <c r="C19" s="13"/>
      <c r="D19" s="13"/>
    </row>
    <row r="20" spans="1:4">
      <c r="A20" s="80"/>
      <c r="B20" s="13"/>
      <c r="C20" s="13"/>
      <c r="D20" s="13"/>
    </row>
    <row r="21" spans="1:4">
      <c r="A21" s="80"/>
      <c r="B21" s="13"/>
      <c r="C21" s="13"/>
      <c r="D21" s="13"/>
    </row>
    <row r="22" spans="1:4">
      <c r="A22" s="80"/>
      <c r="B22" s="13"/>
      <c r="C22" s="13"/>
      <c r="D22" s="13"/>
    </row>
    <row r="23" spans="1:4">
      <c r="A23" s="80"/>
      <c r="B23" s="13"/>
      <c r="C23" s="13"/>
      <c r="D23" s="13"/>
    </row>
    <row r="24" spans="1:4">
      <c r="A24" s="80"/>
      <c r="B24" s="13"/>
      <c r="C24" s="13"/>
      <c r="D24" s="13"/>
    </row>
    <row r="25" spans="1:4">
      <c r="A25" s="80"/>
      <c r="B25" s="13"/>
      <c r="C25" s="13"/>
      <c r="D25" s="13"/>
    </row>
    <row r="26" spans="1:4">
      <c r="A26" s="80"/>
      <c r="B26" s="13"/>
      <c r="C26" s="13"/>
      <c r="D26" s="13"/>
    </row>
    <row r="27" spans="1:4">
      <c r="A27" s="80"/>
      <c r="B27" s="13"/>
      <c r="C27" s="13"/>
      <c r="D27" s="13"/>
    </row>
    <row r="28" spans="1:4">
      <c r="A28" s="80"/>
      <c r="B28" s="13"/>
      <c r="C28" s="13"/>
      <c r="D28" s="13"/>
    </row>
    <row r="41" spans="1:4" ht="13.15">
      <c r="A41" s="2"/>
      <c r="B41" s="13"/>
      <c r="C41" s="13"/>
      <c r="D41" s="13"/>
    </row>
    <row r="42" spans="1:4" ht="13.15">
      <c r="A42" s="2"/>
      <c r="B42" s="13"/>
      <c r="C42" s="13"/>
      <c r="D42" s="13"/>
    </row>
    <row r="43" spans="1:4">
      <c r="B43" s="13"/>
      <c r="C43" s="13"/>
      <c r="D43" s="13"/>
    </row>
    <row r="44" spans="1:4" ht="13.15">
      <c r="B44" s="2"/>
      <c r="C44" s="2"/>
      <c r="D44" s="2"/>
    </row>
    <row r="45" spans="1:4">
      <c r="A45" s="13"/>
      <c r="B45" s="10"/>
      <c r="C45" s="10"/>
      <c r="D45" s="10"/>
    </row>
    <row r="46" spans="1:4">
      <c r="B46" s="10"/>
      <c r="C46" s="10"/>
      <c r="D46" s="10"/>
    </row>
    <row r="50" spans="1:7">
      <c r="A50" s="10"/>
      <c r="B50" s="10"/>
      <c r="C50" s="10"/>
    </row>
    <row r="51" spans="1:7" ht="12.75" customHeight="1">
      <c r="A51" s="10"/>
      <c r="B51" s="10"/>
      <c r="C51" s="10"/>
      <c r="D51" s="10"/>
      <c r="E51" s="10"/>
      <c r="F51" s="10"/>
      <c r="G51" s="10"/>
    </row>
    <row r="52" spans="1:7" ht="12.75" customHeight="1">
      <c r="A52" s="10"/>
      <c r="B52" s="10"/>
      <c r="C52" s="10"/>
      <c r="D52" s="10"/>
      <c r="E52" s="10"/>
      <c r="F52" s="10"/>
      <c r="G52" s="10"/>
    </row>
    <row r="53" spans="1:7" ht="12.75" customHeight="1"/>
    <row r="54" spans="1:7" ht="12.75" customHeight="1"/>
    <row r="64" spans="1:7" ht="12.75" customHeight="1"/>
    <row r="65" ht="12.75" customHeight="1"/>
    <row r="74" ht="12.75" customHeight="1"/>
    <row r="75" ht="12.75" customHeight="1"/>
    <row r="83" spans="1:1" ht="12.75" customHeight="1"/>
    <row r="84" spans="1:1" ht="25.5" customHeight="1"/>
    <row r="92" spans="1:1" s="13" customFormat="1"/>
    <row r="93" spans="1:1" s="13" customFormat="1"/>
    <row r="94" spans="1:1" s="13" customFormat="1"/>
    <row r="95" spans="1:1" s="13" customFormat="1">
      <c r="A95"/>
    </row>
    <row r="96" spans="1:1" s="13" customFormat="1">
      <c r="A96"/>
    </row>
    <row r="98" spans="1:1" ht="12.75" customHeight="1"/>
    <row r="106" spans="1:1">
      <c r="A106" s="10"/>
    </row>
    <row r="107" spans="1:1">
      <c r="A107" s="10"/>
    </row>
    <row r="108" spans="1:1">
      <c r="A108" s="10"/>
    </row>
    <row r="109" spans="1:1">
      <c r="A109" s="10"/>
    </row>
    <row r="110" spans="1:1">
      <c r="A110" s="10"/>
    </row>
    <row r="111" spans="1:1">
      <c r="A111" s="10"/>
    </row>
    <row r="112" spans="1:1">
      <c r="A112" s="10"/>
    </row>
    <row r="113" spans="1:5">
      <c r="A113" s="10"/>
    </row>
    <row r="114" spans="1:5">
      <c r="A114" s="10"/>
    </row>
    <row r="115" spans="1:5">
      <c r="A115" s="10"/>
    </row>
    <row r="116" spans="1:5">
      <c r="A116" s="10"/>
    </row>
    <row r="117" spans="1:5">
      <c r="A117" s="10"/>
    </row>
    <row r="118" spans="1:5">
      <c r="A118" s="10"/>
    </row>
    <row r="125" spans="1:5">
      <c r="D125" s="10"/>
      <c r="E125" s="15"/>
    </row>
    <row r="126" spans="1:5">
      <c r="D126" s="10"/>
      <c r="E126" s="15"/>
    </row>
    <row r="127" spans="1:5">
      <c r="D127" s="10"/>
      <c r="E127" s="15"/>
    </row>
    <row r="128" spans="1:5">
      <c r="D128" s="10"/>
      <c r="E128" s="15"/>
    </row>
    <row r="129" spans="1:5" ht="12.75" customHeight="1">
      <c r="D129" s="10"/>
      <c r="E129" s="15"/>
    </row>
    <row r="130" spans="1:5">
      <c r="C130" s="10"/>
      <c r="D130" s="10"/>
      <c r="E130" s="15"/>
    </row>
    <row r="131" spans="1:5">
      <c r="C131" s="10"/>
      <c r="D131" s="10"/>
      <c r="E131" s="15"/>
    </row>
    <row r="132" spans="1:5">
      <c r="C132" s="10"/>
      <c r="D132" s="10"/>
      <c r="E132" s="15"/>
    </row>
    <row r="133" spans="1:5">
      <c r="C133" s="10"/>
      <c r="D133" s="10"/>
      <c r="E133" s="15"/>
    </row>
    <row r="134" spans="1:5">
      <c r="C134" s="10"/>
      <c r="D134" s="10"/>
      <c r="E134" s="15"/>
    </row>
    <row r="135" spans="1:5">
      <c r="C135" s="10"/>
      <c r="D135" s="10"/>
      <c r="E135" s="15"/>
    </row>
    <row r="136" spans="1:5">
      <c r="C136" s="10"/>
      <c r="D136" s="10"/>
      <c r="E136" s="15"/>
    </row>
    <row r="137" spans="1:5">
      <c r="A137" s="10"/>
      <c r="B137" s="10"/>
      <c r="C137" s="10"/>
      <c r="D137" s="10"/>
      <c r="E137" s="15"/>
    </row>
    <row r="138" spans="1:5">
      <c r="A138" s="10"/>
      <c r="B138" s="10"/>
      <c r="C138" s="10"/>
      <c r="D138" s="10"/>
      <c r="E138" s="15"/>
    </row>
  </sheetData>
  <phoneticPr fontId="2" type="noConversion"/>
  <hyperlinks>
    <hyperlink ref="A1" location="Index!A1" display="Return to Index" xr:uid="{00000000-0004-0000-0400-000000000000}"/>
  </hyperlinks>
  <pageMargins left="0.75" right="0.75" top="1" bottom="1" header="0.5" footer="0.5"/>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8"/>
  <sheetViews>
    <sheetView workbookViewId="0"/>
  </sheetViews>
  <sheetFormatPr defaultRowHeight="12.75"/>
  <cols>
    <col min="1" max="1" width="40.86328125" customWidth="1"/>
    <col min="2" max="2" width="13.33203125" customWidth="1"/>
  </cols>
  <sheetData>
    <row r="1" spans="1:6">
      <c r="A1" s="1" t="s">
        <v>106</v>
      </c>
    </row>
    <row r="3" spans="1:6" ht="17.649999999999999">
      <c r="A3" s="96" t="s">
        <v>183</v>
      </c>
      <c r="B3" s="84"/>
      <c r="C3" s="84"/>
      <c r="D3" s="84"/>
      <c r="E3" s="84"/>
      <c r="F3" s="84"/>
    </row>
    <row r="5" spans="1:6" ht="13.15">
      <c r="A5" s="85" t="s">
        <v>67</v>
      </c>
      <c r="B5" s="86"/>
      <c r="C5" s="173" t="s">
        <v>195</v>
      </c>
      <c r="D5" s="173"/>
      <c r="E5" s="173"/>
    </row>
    <row r="6" spans="1:6" ht="13.15">
      <c r="A6" s="85" t="s">
        <v>306</v>
      </c>
      <c r="B6" s="86"/>
      <c r="C6" s="173" t="s">
        <v>31</v>
      </c>
      <c r="D6" s="173"/>
      <c r="E6" s="173"/>
    </row>
    <row r="7" spans="1:6">
      <c r="B7" s="6"/>
    </row>
    <row r="8" spans="1:6" ht="13.15">
      <c r="B8" s="12">
        <v>2006</v>
      </c>
      <c r="C8" s="12">
        <v>2016</v>
      </c>
      <c r="D8" s="2">
        <v>2018</v>
      </c>
      <c r="E8" s="2">
        <v>2020</v>
      </c>
      <c r="F8" s="2">
        <v>2022</v>
      </c>
    </row>
    <row r="9" spans="1:6">
      <c r="A9" s="80" t="s">
        <v>196</v>
      </c>
      <c r="B9" s="61">
        <v>90</v>
      </c>
      <c r="C9" s="61">
        <v>84</v>
      </c>
      <c r="D9" s="61">
        <v>79</v>
      </c>
      <c r="E9" s="61">
        <v>79</v>
      </c>
      <c r="F9" s="61">
        <v>80</v>
      </c>
    </row>
    <row r="10" spans="1:6">
      <c r="B10" s="6"/>
    </row>
    <row r="11" spans="1:6">
      <c r="B11" s="6"/>
    </row>
    <row r="13" spans="1:6">
      <c r="B13" s="1"/>
    </row>
    <row r="20" spans="1:15" ht="13.15">
      <c r="A20" s="2"/>
    </row>
    <row r="21" spans="1:15" ht="13.15">
      <c r="A21" s="2"/>
    </row>
    <row r="24" spans="1:15">
      <c r="B24" s="13"/>
      <c r="C24" s="13"/>
      <c r="D24" s="13"/>
      <c r="E24" s="13"/>
      <c r="F24" s="13"/>
      <c r="G24" s="13"/>
      <c r="H24" s="13"/>
    </row>
    <row r="25" spans="1:15">
      <c r="B25" s="13"/>
      <c r="C25" s="13"/>
      <c r="D25" s="13"/>
      <c r="E25" s="13"/>
      <c r="F25" s="13"/>
      <c r="G25" s="13"/>
      <c r="H25" s="13"/>
    </row>
    <row r="26" spans="1:15">
      <c r="B26" s="13"/>
      <c r="C26" s="13"/>
      <c r="D26" s="13"/>
      <c r="E26" s="13"/>
      <c r="F26" s="13"/>
      <c r="G26" s="13"/>
      <c r="H26" s="13"/>
    </row>
    <row r="27" spans="1:15">
      <c r="B27" s="13"/>
      <c r="C27" s="13"/>
      <c r="D27" s="13"/>
      <c r="E27" s="13"/>
      <c r="F27" s="13"/>
      <c r="G27" s="13"/>
      <c r="H27" s="13"/>
    </row>
    <row r="28" spans="1:15" ht="12.75" customHeight="1">
      <c r="B28" s="13"/>
      <c r="C28" s="13"/>
      <c r="D28" s="13"/>
      <c r="E28" s="13"/>
      <c r="F28" s="13"/>
      <c r="G28" s="13"/>
      <c r="H28" s="13"/>
      <c r="O28" s="10"/>
    </row>
    <row r="29" spans="1:15" ht="12.75" customHeight="1">
      <c r="A29" s="2"/>
      <c r="B29" s="10"/>
      <c r="C29" s="10"/>
      <c r="D29" s="10"/>
      <c r="E29" s="10"/>
      <c r="F29" s="10"/>
      <c r="G29" s="10"/>
      <c r="H29" s="10"/>
      <c r="I29" s="10"/>
      <c r="J29" s="10"/>
      <c r="K29" s="10"/>
      <c r="L29" s="10"/>
      <c r="M29" s="10"/>
      <c r="N29" s="10"/>
      <c r="O29" s="10"/>
    </row>
    <row r="30" spans="1:15" ht="12.75" customHeight="1">
      <c r="A30" s="2"/>
      <c r="B30" s="10"/>
      <c r="C30" s="10"/>
      <c r="D30" s="10"/>
      <c r="E30" s="10"/>
      <c r="F30" s="10"/>
      <c r="G30" s="10"/>
      <c r="H30" s="10"/>
      <c r="I30" s="10"/>
      <c r="J30" s="10"/>
      <c r="K30" s="10"/>
      <c r="L30" s="10"/>
      <c r="M30" s="10"/>
      <c r="N30" s="10"/>
      <c r="O30" s="10"/>
    </row>
    <row r="31" spans="1:15" ht="12.75" customHeight="1"/>
    <row r="32" spans="1:15" ht="12.75" customHeight="1"/>
    <row r="33" spans="2:8">
      <c r="B33" s="13"/>
      <c r="C33" s="13"/>
      <c r="D33" s="13"/>
      <c r="E33" s="13"/>
      <c r="F33" s="13"/>
      <c r="G33" s="13"/>
      <c r="H33" s="13"/>
    </row>
    <row r="34" spans="2:8">
      <c r="B34" s="13"/>
      <c r="C34" s="13"/>
      <c r="D34" s="13"/>
      <c r="E34" s="13"/>
      <c r="F34" s="13"/>
      <c r="G34" s="13"/>
      <c r="H34" s="13"/>
    </row>
    <row r="35" spans="2:8">
      <c r="B35" s="13"/>
      <c r="C35" s="13"/>
      <c r="D35" s="13"/>
      <c r="E35" s="13"/>
      <c r="F35" s="13"/>
      <c r="G35" s="13"/>
      <c r="H35" s="13"/>
    </row>
    <row r="36" spans="2:8">
      <c r="B36" s="13"/>
      <c r="C36" s="13"/>
      <c r="D36" s="13"/>
      <c r="E36" s="13"/>
      <c r="F36" s="13"/>
      <c r="G36" s="13"/>
      <c r="H36" s="13"/>
    </row>
    <row r="37" spans="2:8">
      <c r="B37" s="13"/>
      <c r="C37" s="13"/>
      <c r="D37" s="13"/>
      <c r="E37" s="13"/>
      <c r="F37" s="13"/>
      <c r="G37" s="13"/>
      <c r="H37" s="13"/>
    </row>
    <row r="38" spans="2:8">
      <c r="B38" s="13"/>
      <c r="C38" s="13"/>
      <c r="D38" s="13"/>
      <c r="E38" s="13"/>
      <c r="F38" s="13"/>
      <c r="G38" s="13"/>
      <c r="H38" s="13"/>
    </row>
  </sheetData>
  <phoneticPr fontId="2" type="noConversion"/>
  <hyperlinks>
    <hyperlink ref="A1" location="Index!A1" display="Return to Index" xr:uid="{00000000-0004-0000-0B00-000000000000}"/>
  </hyperlinks>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workbookViewId="0"/>
  </sheetViews>
  <sheetFormatPr defaultRowHeight="12.75"/>
  <cols>
    <col min="1" max="1" width="53.33203125" customWidth="1"/>
  </cols>
  <sheetData>
    <row r="1" spans="1:7">
      <c r="A1" s="1" t="s">
        <v>106</v>
      </c>
    </row>
    <row r="3" spans="1:7" ht="17.649999999999999">
      <c r="A3" s="96" t="s">
        <v>183</v>
      </c>
      <c r="B3" s="84"/>
      <c r="C3" s="84"/>
      <c r="D3" s="84"/>
      <c r="E3" s="84"/>
      <c r="F3" s="84"/>
      <c r="G3" s="84"/>
    </row>
    <row r="5" spans="1:7" ht="13.15">
      <c r="A5" s="85" t="s">
        <v>111</v>
      </c>
      <c r="B5" s="173" t="s">
        <v>190</v>
      </c>
      <c r="C5" s="173"/>
      <c r="D5" s="173"/>
      <c r="E5" s="86"/>
    </row>
    <row r="6" spans="1:7" ht="13.15">
      <c r="A6" s="85" t="s">
        <v>306</v>
      </c>
      <c r="B6" s="173" t="s">
        <v>31</v>
      </c>
      <c r="C6" s="173"/>
      <c r="D6" s="173"/>
      <c r="E6" s="86"/>
    </row>
    <row r="9" spans="1:7" ht="13.15">
      <c r="B9" s="2">
        <v>2006</v>
      </c>
      <c r="C9" s="2">
        <v>2016</v>
      </c>
      <c r="D9" s="2">
        <v>2018</v>
      </c>
      <c r="E9" s="2">
        <v>2020</v>
      </c>
      <c r="F9" s="2">
        <v>2022</v>
      </c>
    </row>
    <row r="10" spans="1:7">
      <c r="A10" s="80" t="s">
        <v>324</v>
      </c>
      <c r="B10" s="61">
        <v>60</v>
      </c>
      <c r="C10" s="61">
        <v>65</v>
      </c>
      <c r="D10" s="61">
        <v>64</v>
      </c>
      <c r="E10" s="61">
        <v>62</v>
      </c>
      <c r="F10" s="61">
        <v>63</v>
      </c>
    </row>
    <row r="11" spans="1:7">
      <c r="B11" s="6"/>
    </row>
    <row r="13" spans="1:7">
      <c r="B13" s="1"/>
    </row>
  </sheetData>
  <phoneticPr fontId="2" type="noConversion"/>
  <hyperlinks>
    <hyperlink ref="A1" location="Index!A1" display="Return to Index" xr:uid="{00000000-0004-0000-0700-000000000000}"/>
  </hyperlinks>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9"/>
  <sheetViews>
    <sheetView workbookViewId="0"/>
  </sheetViews>
  <sheetFormatPr defaultRowHeight="12.75"/>
  <cols>
    <col min="1" max="1" width="59.6640625" customWidth="1"/>
    <col min="3" max="3" width="10.33203125" bestFit="1" customWidth="1"/>
  </cols>
  <sheetData>
    <row r="1" spans="1:9">
      <c r="A1" s="1" t="s">
        <v>106</v>
      </c>
    </row>
    <row r="3" spans="1:9" ht="17.649999999999999">
      <c r="A3" s="96" t="s">
        <v>183</v>
      </c>
      <c r="B3" s="84"/>
      <c r="C3" s="84"/>
      <c r="D3" s="84"/>
      <c r="E3" s="84"/>
      <c r="F3" s="84"/>
      <c r="G3" s="84"/>
      <c r="H3" s="84"/>
      <c r="I3" s="84"/>
    </row>
    <row r="5" spans="1:9" ht="13.15">
      <c r="A5" s="85" t="s">
        <v>35</v>
      </c>
      <c r="B5" s="84"/>
      <c r="C5" s="84"/>
      <c r="D5" s="173" t="s">
        <v>199</v>
      </c>
      <c r="E5" s="173"/>
      <c r="F5" s="173"/>
      <c r="G5" s="84"/>
    </row>
    <row r="6" spans="1:9" ht="13.15">
      <c r="A6" s="85" t="s">
        <v>306</v>
      </c>
      <c r="B6" s="84"/>
      <c r="C6" s="84"/>
      <c r="D6" s="173" t="s">
        <v>31</v>
      </c>
      <c r="E6" s="173"/>
      <c r="F6" s="173"/>
      <c r="G6" s="84"/>
    </row>
    <row r="8" spans="1:9" ht="13.15">
      <c r="A8" s="2"/>
      <c r="B8" s="12">
        <v>2006</v>
      </c>
      <c r="C8" s="12">
        <v>2016</v>
      </c>
      <c r="D8" s="2">
        <v>2018</v>
      </c>
      <c r="E8" s="2">
        <v>2020</v>
      </c>
      <c r="F8" s="2">
        <v>2022</v>
      </c>
    </row>
    <row r="9" spans="1:9">
      <c r="A9" s="14" t="s">
        <v>316</v>
      </c>
      <c r="B9" s="61">
        <v>61</v>
      </c>
      <c r="C9" s="61">
        <v>47</v>
      </c>
      <c r="D9" s="61">
        <v>40</v>
      </c>
      <c r="E9" s="61">
        <v>35</v>
      </c>
      <c r="F9" s="61">
        <v>41</v>
      </c>
    </row>
    <row r="10" spans="1:9">
      <c r="B10" s="6"/>
    </row>
    <row r="11" spans="1:9">
      <c r="A11" s="136" t="s">
        <v>417</v>
      </c>
      <c r="B11" s="6"/>
    </row>
    <row r="12" spans="1:9">
      <c r="A12" s="137" t="s">
        <v>416</v>
      </c>
    </row>
    <row r="13" spans="1:9">
      <c r="A13" s="137" t="s">
        <v>418</v>
      </c>
      <c r="B13" s="1"/>
    </row>
    <row r="21" spans="1:4" ht="13.15">
      <c r="A21" s="2"/>
    </row>
    <row r="22" spans="1:4" ht="13.15">
      <c r="A22" s="2"/>
    </row>
    <row r="23" spans="1:4" ht="13.15">
      <c r="A23" s="2"/>
    </row>
    <row r="26" spans="1:4">
      <c r="A26" s="17"/>
    </row>
    <row r="27" spans="1:4" ht="13.15">
      <c r="A27" s="2"/>
      <c r="B27" s="2"/>
      <c r="C27" s="2"/>
      <c r="D27" s="2"/>
    </row>
    <row r="28" spans="1:4">
      <c r="A28" s="14"/>
      <c r="B28" s="10"/>
      <c r="C28" s="18"/>
      <c r="D28" s="18"/>
    </row>
    <row r="29" spans="1:4">
      <c r="A29" s="14"/>
      <c r="B29" s="10"/>
      <c r="C29" s="18"/>
      <c r="D29" s="18"/>
    </row>
    <row r="30" spans="1:4">
      <c r="A30" s="14"/>
      <c r="B30" s="10"/>
      <c r="C30" s="18"/>
      <c r="D30" s="18"/>
    </row>
    <row r="31" spans="1:4">
      <c r="A31" s="14"/>
      <c r="B31" s="10"/>
      <c r="C31" s="18"/>
      <c r="D31" s="18"/>
    </row>
    <row r="32" spans="1:4">
      <c r="A32" s="14"/>
      <c r="B32" s="10"/>
      <c r="C32" s="18"/>
      <c r="D32" s="18"/>
    </row>
    <row r="33" spans="1:4">
      <c r="A33" s="14"/>
      <c r="B33" s="10"/>
      <c r="C33" s="18"/>
      <c r="D33" s="18"/>
    </row>
    <row r="34" spans="1:4">
      <c r="A34" s="14"/>
      <c r="B34" s="10"/>
      <c r="C34" s="18"/>
      <c r="D34" s="18"/>
    </row>
    <row r="35" spans="1:4">
      <c r="A35" s="14"/>
      <c r="B35" s="10"/>
      <c r="C35" s="18"/>
      <c r="D35" s="18"/>
    </row>
    <row r="36" spans="1:4">
      <c r="A36" s="14"/>
      <c r="B36" s="10"/>
      <c r="C36" s="18"/>
      <c r="D36" s="18"/>
    </row>
    <row r="37" spans="1:4">
      <c r="A37" s="14"/>
      <c r="B37" s="10"/>
      <c r="C37" s="18"/>
      <c r="D37" s="18"/>
    </row>
    <row r="38" spans="1:4">
      <c r="A38" s="14"/>
      <c r="B38" s="10"/>
      <c r="C38" s="18"/>
      <c r="D38" s="18"/>
    </row>
    <row r="39" spans="1:4">
      <c r="A39" s="14"/>
      <c r="B39" s="10"/>
      <c r="C39" s="18"/>
      <c r="D39" s="18"/>
    </row>
  </sheetData>
  <phoneticPr fontId="2" type="noConversion"/>
  <hyperlinks>
    <hyperlink ref="A1" location="Index!A1" display="Return to Index" xr:uid="{00000000-0004-0000-0E00-000000000000}"/>
  </hyperlinks>
  <pageMargins left="0.75" right="0.75" top="1" bottom="1" header="0.5" footer="0.5"/>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I74"/>
  <sheetViews>
    <sheetView workbookViewId="0"/>
  </sheetViews>
  <sheetFormatPr defaultRowHeight="12.75"/>
  <cols>
    <col min="1" max="1" width="29.33203125" customWidth="1"/>
    <col min="2" max="2" width="14.86328125" customWidth="1"/>
    <col min="3" max="3" width="12.1328125" bestFit="1" customWidth="1"/>
    <col min="4" max="4" width="12.46484375" bestFit="1" customWidth="1"/>
    <col min="9" max="9" width="12.33203125" customWidth="1"/>
    <col min="14" max="14" width="11.1328125" customWidth="1"/>
  </cols>
  <sheetData>
    <row r="1" spans="1:35">
      <c r="A1" s="1" t="s">
        <v>106</v>
      </c>
    </row>
    <row r="3" spans="1:35" ht="17.649999999999999">
      <c r="A3" s="96" t="s">
        <v>183</v>
      </c>
      <c r="B3" s="84"/>
      <c r="C3" s="84"/>
      <c r="D3" s="84"/>
      <c r="E3" s="84"/>
      <c r="F3" s="84"/>
    </row>
    <row r="5" spans="1:35" ht="13.15">
      <c r="A5" s="85" t="s">
        <v>70</v>
      </c>
      <c r="B5" s="84"/>
      <c r="C5" s="173" t="s">
        <v>211</v>
      </c>
      <c r="D5" s="173"/>
      <c r="E5" s="84"/>
    </row>
    <row r="6" spans="1:35" ht="13.15">
      <c r="A6" s="85" t="s">
        <v>171</v>
      </c>
      <c r="B6" s="84"/>
      <c r="C6" s="173" t="s">
        <v>31</v>
      </c>
      <c r="D6" s="173"/>
      <c r="E6" s="84"/>
    </row>
    <row r="8" spans="1:35" ht="13.15">
      <c r="B8" s="12" t="s">
        <v>74</v>
      </c>
      <c r="C8" s="12" t="s">
        <v>119</v>
      </c>
      <c r="D8" s="12" t="s">
        <v>120</v>
      </c>
      <c r="E8" s="12" t="s">
        <v>121</v>
      </c>
      <c r="F8" s="12" t="s">
        <v>122</v>
      </c>
      <c r="G8" s="12" t="s">
        <v>123</v>
      </c>
      <c r="H8" s="12" t="s">
        <v>124</v>
      </c>
      <c r="I8" s="12" t="s">
        <v>125</v>
      </c>
      <c r="J8" s="12" t="s">
        <v>126</v>
      </c>
      <c r="K8" s="12" t="s">
        <v>127</v>
      </c>
      <c r="L8" s="12" t="s">
        <v>128</v>
      </c>
      <c r="M8" s="12" t="s">
        <v>75</v>
      </c>
      <c r="N8" s="12" t="s">
        <v>64</v>
      </c>
      <c r="O8" s="12" t="s">
        <v>11</v>
      </c>
      <c r="P8" s="12" t="s">
        <v>301</v>
      </c>
      <c r="Q8" s="12" t="s">
        <v>337</v>
      </c>
      <c r="R8" s="12" t="s">
        <v>340</v>
      </c>
      <c r="S8" s="12" t="s">
        <v>351</v>
      </c>
      <c r="T8" s="12" t="s">
        <v>379</v>
      </c>
      <c r="U8" s="12" t="s">
        <v>414</v>
      </c>
      <c r="V8" s="12" t="s">
        <v>485</v>
      </c>
      <c r="W8" s="12" t="s">
        <v>509</v>
      </c>
      <c r="X8" s="12" t="s">
        <v>524</v>
      </c>
    </row>
    <row r="9" spans="1:35">
      <c r="A9" s="21" t="s">
        <v>426</v>
      </c>
      <c r="B9" s="13">
        <v>4.1802388707926168</v>
      </c>
      <c r="C9" s="13">
        <v>4.3385109801821109</v>
      </c>
      <c r="D9" s="13">
        <v>4.4567510548523206</v>
      </c>
      <c r="E9" s="13">
        <v>4.9154746423927174</v>
      </c>
      <c r="F9" s="13">
        <v>5.0681759711860046</v>
      </c>
      <c r="G9" s="13">
        <v>5.4933875890132251</v>
      </c>
      <c r="H9" s="13">
        <v>7.2992700729926998</v>
      </c>
      <c r="I9" s="13">
        <v>9.0886454183266938</v>
      </c>
      <c r="J9" s="13">
        <v>11.116576487948842</v>
      </c>
      <c r="K9" s="13">
        <v>10.960232783705139</v>
      </c>
      <c r="L9" s="13">
        <v>10.397320872274143</v>
      </c>
      <c r="M9" s="13">
        <v>10.596443653618032</v>
      </c>
      <c r="N9" s="13">
        <v>10.181097503532737</v>
      </c>
      <c r="O9" s="13">
        <v>10.108186864014799</v>
      </c>
      <c r="P9" s="13">
        <v>9.8198620221669302</v>
      </c>
      <c r="Q9" s="13">
        <v>9.0226744699646648</v>
      </c>
      <c r="R9" s="13">
        <v>8.5774580645161294</v>
      </c>
      <c r="S9" s="13">
        <v>8.3837132043734215</v>
      </c>
      <c r="T9" s="13">
        <v>8.2529483220094715</v>
      </c>
      <c r="U9" s="13">
        <v>7.0799040191961611</v>
      </c>
      <c r="V9" s="13">
        <v>6.4641725908372827</v>
      </c>
      <c r="W9" s="13">
        <v>4.7322979056566838</v>
      </c>
      <c r="X9" s="13">
        <v>6.4045905089934942</v>
      </c>
      <c r="Y9" s="13"/>
      <c r="Z9" s="13"/>
      <c r="AA9" s="13"/>
      <c r="AB9" s="13"/>
      <c r="AC9" s="13"/>
      <c r="AD9" s="13"/>
      <c r="AE9" s="13"/>
      <c r="AF9" s="13"/>
      <c r="AG9" s="13"/>
      <c r="AH9" s="13"/>
      <c r="AI9" s="13"/>
    </row>
    <row r="10" spans="1:35">
      <c r="A10" s="14"/>
      <c r="B10" s="13"/>
      <c r="C10" s="13"/>
      <c r="D10" s="13"/>
      <c r="E10" s="13"/>
      <c r="F10" s="13"/>
      <c r="G10" s="13"/>
      <c r="H10" s="13"/>
      <c r="I10" s="13"/>
      <c r="J10" s="13"/>
      <c r="K10" s="13"/>
      <c r="L10" s="13"/>
      <c r="M10" s="13"/>
      <c r="N10" s="13"/>
      <c r="O10" s="13"/>
    </row>
    <row r="11" spans="1:35">
      <c r="A11" s="14"/>
      <c r="B11" s="13"/>
      <c r="C11" s="13"/>
      <c r="D11" s="13"/>
      <c r="E11" s="13"/>
      <c r="F11" s="13"/>
      <c r="G11" s="13"/>
      <c r="H11" s="13"/>
      <c r="I11" s="13"/>
      <c r="J11" s="13"/>
      <c r="K11" s="13"/>
      <c r="L11" s="13"/>
      <c r="M11" s="13"/>
      <c r="N11" s="13"/>
      <c r="O11" s="13"/>
    </row>
    <row r="12" spans="1:35">
      <c r="A12" s="14"/>
      <c r="B12" s="13"/>
      <c r="C12" s="13"/>
      <c r="D12" s="13"/>
      <c r="E12" s="13"/>
      <c r="F12" s="13"/>
      <c r="G12" s="13"/>
      <c r="H12" s="13"/>
      <c r="I12" s="13"/>
      <c r="J12" s="13"/>
      <c r="K12" s="13"/>
      <c r="L12" s="13"/>
      <c r="M12" s="13"/>
      <c r="N12" s="13"/>
      <c r="O12" s="13"/>
    </row>
    <row r="13" spans="1:35">
      <c r="A13" s="14"/>
      <c r="B13" s="13"/>
      <c r="C13" s="13"/>
      <c r="D13" s="13"/>
      <c r="E13" s="13"/>
      <c r="F13" s="13"/>
      <c r="G13" s="13"/>
      <c r="H13" s="13"/>
      <c r="I13" s="13"/>
      <c r="J13" s="13"/>
      <c r="K13" s="13"/>
      <c r="L13" s="13"/>
      <c r="M13" s="13"/>
      <c r="N13" s="13"/>
      <c r="O13" s="13"/>
    </row>
    <row r="14" spans="1:35">
      <c r="A14" s="14"/>
      <c r="B14" s="13"/>
      <c r="C14" s="13"/>
      <c r="D14" s="13"/>
      <c r="E14" s="13"/>
      <c r="F14" s="13"/>
      <c r="G14" s="13"/>
      <c r="H14" s="13"/>
      <c r="I14" s="13"/>
      <c r="J14" s="13"/>
      <c r="K14" s="13"/>
      <c r="L14" s="13"/>
      <c r="M14" s="13"/>
      <c r="N14" s="13"/>
      <c r="O14" s="13"/>
    </row>
    <row r="15" spans="1:35">
      <c r="A15" s="14"/>
      <c r="B15" s="13"/>
      <c r="C15" s="13"/>
      <c r="D15" s="13"/>
      <c r="E15" s="13"/>
      <c r="F15" s="13"/>
      <c r="G15" s="13"/>
      <c r="H15" s="13"/>
      <c r="I15" s="13"/>
      <c r="J15" s="13"/>
      <c r="K15" s="13"/>
      <c r="L15" s="13"/>
      <c r="M15" s="13"/>
      <c r="N15" s="13"/>
      <c r="O15" s="13"/>
    </row>
    <row r="16" spans="1:35">
      <c r="A16" s="14"/>
      <c r="B16" s="13"/>
      <c r="C16" s="13"/>
      <c r="D16" s="13"/>
      <c r="E16" s="13"/>
      <c r="F16" s="13"/>
      <c r="G16" s="13"/>
      <c r="H16" s="13"/>
      <c r="I16" s="13"/>
      <c r="J16" s="13"/>
      <c r="K16" s="13"/>
      <c r="L16" s="13"/>
      <c r="M16" s="13"/>
      <c r="N16" s="13"/>
      <c r="O16" s="13"/>
    </row>
    <row r="17" spans="1:15">
      <c r="A17" s="14"/>
      <c r="B17" s="13"/>
      <c r="C17" s="13"/>
      <c r="D17" s="13"/>
      <c r="E17" s="13"/>
      <c r="F17" s="13"/>
      <c r="G17" s="13"/>
      <c r="H17" s="13"/>
      <c r="I17" s="13"/>
      <c r="J17" s="13"/>
      <c r="K17" s="13"/>
      <c r="L17" s="13"/>
      <c r="M17" s="13"/>
      <c r="N17" s="13"/>
      <c r="O17" s="13"/>
    </row>
    <row r="18" spans="1:15">
      <c r="A18" s="14"/>
      <c r="B18" s="13"/>
      <c r="C18" s="13"/>
      <c r="D18" s="13"/>
      <c r="E18" s="13"/>
      <c r="F18" s="13"/>
      <c r="G18" s="13"/>
      <c r="H18" s="13"/>
      <c r="I18" s="13"/>
      <c r="J18" s="13"/>
      <c r="K18" s="13"/>
      <c r="L18" s="13"/>
      <c r="M18" s="13"/>
      <c r="N18" s="13"/>
      <c r="O18" s="13"/>
    </row>
    <row r="19" spans="1:15">
      <c r="A19" s="14"/>
      <c r="B19" s="13"/>
      <c r="C19" s="13"/>
      <c r="D19" s="13"/>
      <c r="E19" s="13"/>
      <c r="F19" s="13"/>
      <c r="G19" s="13"/>
      <c r="H19" s="13"/>
      <c r="I19" s="13"/>
      <c r="J19" s="13"/>
      <c r="K19" s="13"/>
      <c r="L19" s="13"/>
      <c r="M19" s="13"/>
      <c r="N19" s="13"/>
      <c r="O19" s="13"/>
    </row>
    <row r="20" spans="1:15">
      <c r="A20" s="14"/>
      <c r="B20" s="13"/>
      <c r="C20" s="13"/>
      <c r="D20" s="13"/>
      <c r="E20" s="13"/>
      <c r="F20" s="13"/>
      <c r="G20" s="13"/>
      <c r="H20" s="13"/>
      <c r="I20" s="13"/>
      <c r="J20" s="13"/>
      <c r="K20" s="13"/>
      <c r="L20" s="13"/>
      <c r="M20" s="13"/>
      <c r="N20" s="13"/>
      <c r="O20" s="13"/>
    </row>
    <row r="21" spans="1:15">
      <c r="A21" s="14"/>
      <c r="B21" s="13"/>
      <c r="C21" s="13"/>
      <c r="D21" s="13"/>
      <c r="E21" s="13"/>
      <c r="F21" s="13"/>
      <c r="G21" s="13"/>
      <c r="H21" s="13"/>
      <c r="I21" s="13"/>
      <c r="J21" s="13"/>
      <c r="K21" s="13"/>
      <c r="L21" s="13"/>
      <c r="M21" s="13"/>
      <c r="N21" s="13"/>
      <c r="O21" s="13"/>
    </row>
    <row r="22" spans="1:15">
      <c r="A22" s="14"/>
      <c r="B22" s="13"/>
      <c r="C22" s="13"/>
      <c r="D22" s="13"/>
      <c r="E22" s="13"/>
      <c r="F22" s="13"/>
      <c r="G22" s="13"/>
      <c r="H22" s="13"/>
      <c r="I22" s="13"/>
      <c r="J22" s="13"/>
      <c r="K22" s="13"/>
      <c r="L22" s="13"/>
      <c r="M22" s="13"/>
      <c r="N22" s="13"/>
      <c r="O22" s="13"/>
    </row>
    <row r="23" spans="1:15">
      <c r="A23" s="14"/>
      <c r="B23" s="13"/>
      <c r="C23" s="13"/>
      <c r="D23" s="13"/>
      <c r="E23" s="13"/>
      <c r="F23" s="13"/>
      <c r="G23" s="13"/>
      <c r="H23" s="13"/>
      <c r="I23" s="13"/>
      <c r="J23" s="13"/>
      <c r="K23" s="13"/>
      <c r="L23" s="13"/>
      <c r="M23" s="13"/>
      <c r="N23" s="13"/>
      <c r="O23" s="13"/>
    </row>
    <row r="24" spans="1:15">
      <c r="A24" s="14"/>
      <c r="B24" s="13"/>
      <c r="C24" s="13"/>
      <c r="D24" s="13"/>
      <c r="E24" s="13"/>
      <c r="F24" s="13"/>
      <c r="G24" s="13"/>
      <c r="H24" s="13"/>
      <c r="I24" s="13"/>
      <c r="J24" s="13"/>
      <c r="K24" s="13"/>
      <c r="L24" s="13"/>
      <c r="M24" s="13"/>
      <c r="N24" s="13"/>
      <c r="O24" s="13"/>
    </row>
    <row r="25" spans="1:15">
      <c r="A25" s="14"/>
      <c r="B25" s="13"/>
      <c r="C25" s="13"/>
      <c r="D25" s="13"/>
      <c r="E25" s="13"/>
      <c r="F25" s="13"/>
      <c r="G25" s="13"/>
      <c r="H25" s="13"/>
      <c r="I25" s="13"/>
      <c r="J25" s="13"/>
      <c r="K25" s="13"/>
      <c r="L25" s="13"/>
      <c r="M25" s="13"/>
      <c r="N25" s="13"/>
      <c r="O25" s="13"/>
    </row>
    <row r="26" spans="1:15">
      <c r="A26" s="14"/>
      <c r="B26" s="13"/>
      <c r="C26" s="13"/>
      <c r="D26" s="13"/>
      <c r="E26" s="13"/>
      <c r="F26" s="13"/>
      <c r="G26" s="13"/>
      <c r="H26" s="13"/>
      <c r="I26" s="13"/>
      <c r="J26" s="13"/>
      <c r="K26" s="13"/>
      <c r="L26" s="13"/>
      <c r="M26" s="13"/>
      <c r="N26" s="13"/>
      <c r="O26" s="13"/>
    </row>
    <row r="27" spans="1:15">
      <c r="A27" s="14"/>
      <c r="B27" s="13"/>
      <c r="C27" s="13"/>
      <c r="D27" s="13"/>
      <c r="E27" s="13"/>
      <c r="F27" s="13"/>
      <c r="G27" s="13"/>
      <c r="H27" s="13"/>
      <c r="I27" s="13"/>
      <c r="J27" s="13"/>
      <c r="K27" s="13"/>
      <c r="L27" s="13"/>
      <c r="M27" s="13"/>
      <c r="N27" s="13"/>
      <c r="O27" s="13"/>
    </row>
    <row r="28" spans="1:15">
      <c r="A28" s="14"/>
      <c r="B28" s="13"/>
      <c r="C28" s="13"/>
      <c r="D28" s="13"/>
      <c r="E28" s="13"/>
      <c r="F28" s="13"/>
      <c r="G28" s="13"/>
      <c r="H28" s="13"/>
      <c r="I28" s="13"/>
      <c r="J28" s="13"/>
      <c r="K28" s="13"/>
      <c r="L28" s="13"/>
      <c r="M28" s="13"/>
      <c r="N28" s="13"/>
      <c r="O28" s="13"/>
    </row>
    <row r="29" spans="1:15">
      <c r="A29" s="14"/>
      <c r="B29" s="13"/>
      <c r="C29" s="13"/>
      <c r="D29" s="13"/>
      <c r="E29" s="13"/>
      <c r="F29" s="13"/>
      <c r="G29" s="13"/>
      <c r="H29" s="13"/>
      <c r="I29" s="13"/>
      <c r="J29" s="13"/>
      <c r="K29" s="13"/>
      <c r="L29" s="13"/>
      <c r="M29" s="13"/>
      <c r="N29" s="13"/>
      <c r="O29" s="13"/>
    </row>
    <row r="30" spans="1:15">
      <c r="A30" s="14"/>
      <c r="B30" s="13"/>
      <c r="C30" s="13"/>
      <c r="D30" s="13"/>
      <c r="E30" s="13"/>
      <c r="F30" s="13"/>
      <c r="G30" s="13"/>
      <c r="H30" s="13"/>
      <c r="I30" s="13"/>
      <c r="J30" s="13"/>
      <c r="K30" s="13"/>
      <c r="L30" s="13"/>
      <c r="M30" s="13"/>
      <c r="N30" s="13"/>
      <c r="O30" s="13"/>
    </row>
    <row r="31" spans="1:15">
      <c r="A31" s="14"/>
      <c r="B31" s="13"/>
      <c r="C31" s="13"/>
      <c r="D31" s="13"/>
      <c r="E31" s="13"/>
      <c r="F31" s="13"/>
      <c r="G31" s="13"/>
      <c r="H31" s="13"/>
      <c r="I31" s="13"/>
      <c r="J31" s="13"/>
      <c r="K31" s="13"/>
      <c r="L31" s="13"/>
      <c r="M31" s="13"/>
      <c r="N31" s="13"/>
      <c r="O31" s="13"/>
    </row>
    <row r="35" spans="1:15">
      <c r="B35" s="1"/>
    </row>
    <row r="43" spans="1:15" ht="13.15">
      <c r="A43" s="2"/>
    </row>
    <row r="44" spans="1:15" ht="13.15">
      <c r="A44" s="2"/>
    </row>
    <row r="46" spans="1:15" ht="13.15">
      <c r="A46" s="12"/>
      <c r="B46" s="12"/>
      <c r="C46" s="12"/>
      <c r="D46" s="12"/>
      <c r="E46" s="12"/>
      <c r="F46" s="12"/>
      <c r="G46" s="12"/>
      <c r="H46" s="12"/>
      <c r="I46" s="12"/>
      <c r="J46" s="12"/>
      <c r="K46" s="12"/>
      <c r="L46" s="12"/>
      <c r="M46" s="12"/>
      <c r="N46" s="12"/>
      <c r="O46" s="12"/>
    </row>
    <row r="63" spans="1:15" ht="13.15">
      <c r="A63" s="2"/>
      <c r="B63" s="2"/>
      <c r="C63" s="2"/>
      <c r="D63" s="2"/>
      <c r="E63" s="2"/>
      <c r="F63" s="2"/>
      <c r="G63" s="2"/>
      <c r="H63" s="2"/>
      <c r="I63" s="2"/>
      <c r="J63" s="2"/>
      <c r="K63" s="2"/>
      <c r="L63" s="2"/>
      <c r="M63" s="2"/>
      <c r="N63" s="2"/>
      <c r="O63" s="2"/>
    </row>
    <row r="65" spans="1:24" ht="13.15">
      <c r="A65" s="2"/>
    </row>
    <row r="66" spans="1:24" ht="13.15">
      <c r="B66" s="2"/>
      <c r="C66" s="2"/>
      <c r="D66" s="2"/>
      <c r="E66" s="2"/>
      <c r="F66" s="2"/>
      <c r="G66" s="2"/>
      <c r="H66" s="2"/>
      <c r="I66" s="2"/>
      <c r="J66" s="2"/>
      <c r="K66" s="2"/>
      <c r="L66" s="2"/>
      <c r="M66" s="2"/>
      <c r="N66" s="12"/>
      <c r="O66" s="2"/>
    </row>
    <row r="67" spans="1:24">
      <c r="B67" s="9"/>
      <c r="C67" s="9"/>
      <c r="D67" s="9"/>
      <c r="E67" s="9"/>
      <c r="F67" s="9"/>
      <c r="G67" s="9"/>
      <c r="H67" s="9"/>
      <c r="I67" s="9"/>
      <c r="J67" s="9"/>
      <c r="K67" s="9"/>
      <c r="L67" s="9"/>
      <c r="M67" s="9"/>
      <c r="N67" s="9"/>
      <c r="O67" s="9"/>
      <c r="P67" s="9"/>
      <c r="Q67" s="9"/>
      <c r="R67" s="9"/>
      <c r="S67" s="9"/>
      <c r="T67" s="9"/>
      <c r="U67" s="9"/>
      <c r="V67" s="9"/>
      <c r="W67" s="9"/>
      <c r="X67" s="9"/>
    </row>
    <row r="68" spans="1:24">
      <c r="B68" s="9"/>
      <c r="C68" s="9"/>
      <c r="D68" s="9"/>
      <c r="E68" s="9"/>
      <c r="F68" s="9"/>
      <c r="G68" s="9"/>
      <c r="H68" s="9"/>
      <c r="I68" s="9"/>
      <c r="J68" s="9"/>
      <c r="K68" s="9"/>
      <c r="L68" s="9"/>
      <c r="M68" s="9"/>
      <c r="N68" s="9"/>
      <c r="O68" s="9"/>
      <c r="P68" s="9"/>
      <c r="Q68" s="9"/>
      <c r="R68" s="9"/>
      <c r="S68" s="9"/>
      <c r="T68" s="9"/>
      <c r="U68" s="9"/>
      <c r="V68" s="9"/>
      <c r="W68" s="9"/>
      <c r="X68" s="9"/>
    </row>
    <row r="69" spans="1:24">
      <c r="B69" s="9"/>
      <c r="C69" s="9"/>
      <c r="D69" s="9"/>
      <c r="E69" s="9"/>
      <c r="F69" s="9"/>
      <c r="G69" s="9"/>
      <c r="H69" s="9"/>
      <c r="I69" s="9"/>
      <c r="J69" s="9"/>
      <c r="K69" s="9"/>
      <c r="L69" s="9"/>
      <c r="M69" s="9"/>
      <c r="N69" s="10"/>
      <c r="O69" s="9"/>
      <c r="P69" s="9"/>
      <c r="Q69" s="9"/>
      <c r="R69" s="9"/>
      <c r="S69" s="9"/>
      <c r="T69" s="9"/>
      <c r="U69" s="9"/>
      <c r="V69" s="9"/>
      <c r="W69" s="9"/>
      <c r="X69" s="9"/>
    </row>
    <row r="71" spans="1:24" ht="13.15">
      <c r="A71" s="2"/>
    </row>
    <row r="72" spans="1:24" ht="13.15">
      <c r="A72" s="2"/>
    </row>
    <row r="74" spans="1:24">
      <c r="B74" s="13"/>
      <c r="C74" s="13"/>
      <c r="D74" s="13"/>
      <c r="E74" s="13"/>
      <c r="F74" s="13"/>
      <c r="G74" s="13"/>
      <c r="H74" s="13"/>
      <c r="I74" s="13"/>
      <c r="J74" s="13"/>
      <c r="K74" s="13"/>
      <c r="L74" s="13"/>
      <c r="M74" s="13"/>
      <c r="N74" s="13"/>
      <c r="O74" s="13"/>
    </row>
  </sheetData>
  <phoneticPr fontId="2" type="noConversion"/>
  <hyperlinks>
    <hyperlink ref="A1" location="Index!A1" display="Return to Index" xr:uid="{00000000-0004-0000-1700-000000000000}"/>
  </hyperlinks>
  <pageMargins left="0.75" right="0.75" top="1" bottom="1" header="0.5" footer="0.5"/>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5"/>
  <sheetViews>
    <sheetView workbookViewId="0"/>
  </sheetViews>
  <sheetFormatPr defaultRowHeight="12.75"/>
  <cols>
    <col min="1" max="1" width="53.6640625" customWidth="1"/>
    <col min="2" max="2" width="12.1328125" customWidth="1"/>
    <col min="3" max="10" width="10.1328125" customWidth="1"/>
  </cols>
  <sheetData>
    <row r="1" spans="1:20">
      <c r="A1" s="1" t="s">
        <v>106</v>
      </c>
    </row>
    <row r="3" spans="1:20" ht="17.649999999999999">
      <c r="A3" s="96" t="s">
        <v>183</v>
      </c>
      <c r="B3" s="84"/>
      <c r="C3" s="84"/>
      <c r="D3" s="84"/>
      <c r="E3" s="84"/>
      <c r="F3" s="84"/>
      <c r="G3" s="84"/>
    </row>
    <row r="5" spans="1:20" ht="13.15">
      <c r="A5" s="85" t="s">
        <v>140</v>
      </c>
      <c r="B5" s="84"/>
      <c r="C5" s="173" t="s">
        <v>192</v>
      </c>
      <c r="D5" s="173"/>
      <c r="E5" s="86"/>
    </row>
    <row r="6" spans="1:20" ht="13.15">
      <c r="A6" s="85" t="s">
        <v>536</v>
      </c>
      <c r="B6" s="84"/>
      <c r="C6" s="173" t="s">
        <v>31</v>
      </c>
      <c r="D6" s="173"/>
      <c r="E6" s="86"/>
    </row>
    <row r="8" spans="1:20" ht="13.15">
      <c r="A8" s="89"/>
      <c r="B8" s="2">
        <v>2004</v>
      </c>
      <c r="C8" s="2">
        <v>2005</v>
      </c>
      <c r="D8" s="2">
        <v>2006</v>
      </c>
      <c r="E8" s="2">
        <v>2007</v>
      </c>
      <c r="F8" s="2">
        <v>2008</v>
      </c>
      <c r="G8" s="2">
        <v>2009</v>
      </c>
      <c r="H8" s="2">
        <v>2010</v>
      </c>
      <c r="I8" s="2">
        <v>2011</v>
      </c>
      <c r="J8" s="2">
        <v>2012</v>
      </c>
      <c r="K8" s="2">
        <v>2013</v>
      </c>
      <c r="L8" s="2">
        <v>2014</v>
      </c>
      <c r="M8" s="2">
        <v>2015</v>
      </c>
      <c r="N8" s="2">
        <v>2016</v>
      </c>
      <c r="O8" s="2">
        <v>2017</v>
      </c>
      <c r="P8" s="2">
        <v>2018</v>
      </c>
      <c r="Q8" s="2">
        <v>2019</v>
      </c>
      <c r="R8" s="2">
        <v>2020</v>
      </c>
      <c r="S8" s="2">
        <v>2021</v>
      </c>
      <c r="T8" s="2">
        <v>2022</v>
      </c>
    </row>
    <row r="9" spans="1:20">
      <c r="A9" s="88" t="s">
        <v>535</v>
      </c>
      <c r="B9" s="9">
        <v>7430.4291287386222</v>
      </c>
      <c r="C9" s="9">
        <v>7723.1798302032412</v>
      </c>
      <c r="D9" s="9">
        <v>7085.4526958290944</v>
      </c>
      <c r="E9" s="9">
        <v>7933.5514724389632</v>
      </c>
      <c r="F9" s="9">
        <v>7036.8525896414349</v>
      </c>
      <c r="G9" s="9">
        <v>6278.8981800295132</v>
      </c>
      <c r="H9" s="9">
        <v>5977.2065955383123</v>
      </c>
      <c r="I9" s="9">
        <v>5621.8547807332861</v>
      </c>
      <c r="J9" s="9">
        <v>5285.8837485172016</v>
      </c>
      <c r="K9" s="9">
        <v>4373.5280263777668</v>
      </c>
      <c r="L9" s="9">
        <v>4692.4144310823312</v>
      </c>
      <c r="M9" s="9">
        <v>5591.4951368468664</v>
      </c>
      <c r="N9" s="9">
        <v>5452.7385159010601</v>
      </c>
      <c r="O9" s="9">
        <v>5752.6881720430101</v>
      </c>
      <c r="P9" s="9">
        <v>5851.5559293523966</v>
      </c>
      <c r="Q9" s="9">
        <v>5606.341362981264</v>
      </c>
      <c r="R9" s="9">
        <v>4955.0089982003601</v>
      </c>
      <c r="S9" s="9">
        <v>4771.8332022029899</v>
      </c>
      <c r="T9" s="9">
        <v>5480.7318022576874</v>
      </c>
    </row>
    <row r="10" spans="1:20">
      <c r="A10" s="88"/>
      <c r="B10" s="9"/>
      <c r="C10" s="9"/>
      <c r="D10" s="9"/>
      <c r="E10" s="9"/>
      <c r="F10" s="9"/>
      <c r="G10" s="9"/>
      <c r="H10" s="9"/>
      <c r="I10" s="9"/>
      <c r="J10" s="9"/>
      <c r="K10" s="9"/>
    </row>
    <row r="11" spans="1:20">
      <c r="A11" s="88"/>
      <c r="B11" s="9"/>
      <c r="C11" s="9"/>
      <c r="D11" s="9"/>
      <c r="E11" s="9"/>
      <c r="F11" s="9"/>
      <c r="G11" s="9"/>
      <c r="H11" s="9"/>
      <c r="I11" s="9"/>
      <c r="J11" s="9"/>
      <c r="K11" s="9"/>
    </row>
    <row r="12" spans="1:20">
      <c r="A12" s="88"/>
      <c r="B12" s="9"/>
      <c r="C12" s="9"/>
      <c r="D12" s="9"/>
      <c r="E12" s="9"/>
      <c r="F12" s="9"/>
      <c r="G12" s="9"/>
      <c r="H12" s="9"/>
      <c r="I12" s="9"/>
      <c r="J12" s="9"/>
      <c r="K12" s="9"/>
    </row>
    <row r="13" spans="1:20">
      <c r="A13" s="88"/>
      <c r="B13" s="9"/>
      <c r="C13" s="9"/>
      <c r="D13" s="9"/>
      <c r="E13" s="9"/>
      <c r="F13" s="9"/>
      <c r="G13" s="9"/>
      <c r="H13" s="9"/>
      <c r="I13" s="9"/>
      <c r="J13" s="9"/>
      <c r="K13" s="9"/>
    </row>
    <row r="14" spans="1:20">
      <c r="A14" s="88"/>
      <c r="B14" s="9"/>
      <c r="C14" s="9"/>
      <c r="D14" s="9"/>
      <c r="E14" s="9"/>
      <c r="F14" s="9"/>
      <c r="G14" s="9"/>
      <c r="H14" s="9"/>
      <c r="I14" s="9"/>
      <c r="J14" s="9"/>
      <c r="K14" s="9"/>
    </row>
    <row r="15" spans="1:20">
      <c r="A15" s="88"/>
      <c r="B15" s="9"/>
      <c r="C15" s="9"/>
      <c r="D15" s="9"/>
      <c r="E15" s="9"/>
      <c r="F15" s="9"/>
      <c r="G15" s="9"/>
      <c r="H15" s="9"/>
      <c r="I15" s="9"/>
      <c r="J15" s="9"/>
      <c r="K15" s="9"/>
    </row>
    <row r="16" spans="1:20">
      <c r="A16" s="88"/>
      <c r="B16" s="9"/>
      <c r="C16" s="9"/>
      <c r="D16" s="9"/>
      <c r="E16" s="9"/>
      <c r="F16" s="9"/>
      <c r="G16" s="9"/>
      <c r="H16" s="9"/>
      <c r="I16" s="9"/>
      <c r="J16" s="9"/>
      <c r="K16" s="9"/>
    </row>
    <row r="17" spans="1:16">
      <c r="A17" s="88"/>
      <c r="B17" s="9"/>
      <c r="C17" s="9"/>
      <c r="D17" s="9"/>
      <c r="E17" s="9"/>
      <c r="F17" s="9"/>
      <c r="G17" s="9"/>
      <c r="H17" s="9"/>
      <c r="I17" s="9"/>
      <c r="J17" s="9"/>
      <c r="K17" s="9"/>
      <c r="N17" s="9"/>
    </row>
    <row r="18" spans="1:16">
      <c r="A18" s="88"/>
      <c r="B18" s="9"/>
      <c r="C18" s="9"/>
      <c r="D18" s="9"/>
      <c r="E18" s="9"/>
      <c r="F18" s="9"/>
      <c r="G18" s="9"/>
      <c r="H18" s="9"/>
      <c r="I18" s="9"/>
      <c r="J18" s="9"/>
      <c r="K18" s="9"/>
      <c r="N18" s="9"/>
    </row>
    <row r="19" spans="1:16" ht="13.15">
      <c r="A19" s="88"/>
      <c r="B19" s="9"/>
      <c r="C19" s="9"/>
      <c r="D19" s="9"/>
      <c r="E19" s="9"/>
      <c r="F19" s="9"/>
      <c r="G19" s="9"/>
      <c r="H19" s="9"/>
      <c r="I19" s="9"/>
      <c r="J19" s="9"/>
      <c r="K19" s="9"/>
      <c r="N19" s="9"/>
      <c r="O19" s="2"/>
      <c r="P19" s="9"/>
    </row>
    <row r="20" spans="1:16" ht="13.15">
      <c r="A20" s="88"/>
      <c r="B20" s="9"/>
      <c r="C20" s="9"/>
      <c r="D20" s="9"/>
      <c r="E20" s="9"/>
      <c r="F20" s="9"/>
      <c r="G20" s="9"/>
      <c r="H20" s="9"/>
      <c r="I20" s="9"/>
      <c r="J20" s="9"/>
      <c r="K20" s="9"/>
      <c r="N20" s="9"/>
      <c r="O20" s="2"/>
      <c r="P20" s="9"/>
    </row>
    <row r="21" spans="1:16" ht="13.15">
      <c r="A21" s="88"/>
      <c r="B21" s="9"/>
      <c r="C21" s="9"/>
      <c r="D21" s="9"/>
      <c r="E21" s="9"/>
      <c r="F21" s="9"/>
      <c r="G21" s="9"/>
      <c r="H21" s="9"/>
      <c r="I21" s="9"/>
      <c r="J21" s="9"/>
      <c r="K21" s="9"/>
      <c r="N21" s="9"/>
      <c r="O21" s="2"/>
      <c r="P21" s="9"/>
    </row>
    <row r="22" spans="1:16" ht="13.15">
      <c r="A22" s="88"/>
      <c r="B22" s="9"/>
      <c r="C22" s="9"/>
      <c r="D22" s="9"/>
      <c r="E22" s="9"/>
      <c r="F22" s="9"/>
      <c r="G22" s="9"/>
      <c r="H22" s="9"/>
      <c r="I22" s="9"/>
      <c r="J22" s="9"/>
      <c r="K22" s="9"/>
      <c r="N22" s="9"/>
      <c r="O22" s="2"/>
      <c r="P22" s="9"/>
    </row>
    <row r="23" spans="1:16" ht="13.15">
      <c r="A23" s="88"/>
      <c r="B23" s="9"/>
      <c r="C23" s="9"/>
      <c r="D23" s="9"/>
      <c r="E23" s="9"/>
      <c r="F23" s="9"/>
      <c r="G23" s="9"/>
      <c r="H23" s="9"/>
      <c r="I23" s="9"/>
      <c r="J23" s="9"/>
      <c r="K23" s="9"/>
      <c r="N23" s="9"/>
      <c r="O23" s="2"/>
      <c r="P23" s="9"/>
    </row>
    <row r="24" spans="1:16" ht="13.15">
      <c r="A24" s="88"/>
      <c r="B24" s="9"/>
      <c r="C24" s="9"/>
      <c r="D24" s="9"/>
      <c r="E24" s="9"/>
      <c r="F24" s="9"/>
      <c r="G24" s="9"/>
      <c r="H24" s="9"/>
      <c r="I24" s="9"/>
      <c r="J24" s="9"/>
      <c r="K24" s="9"/>
      <c r="N24" s="9"/>
      <c r="O24" s="2"/>
      <c r="P24" s="9"/>
    </row>
    <row r="25" spans="1:16" ht="13.15">
      <c r="A25" s="88"/>
      <c r="B25" s="9"/>
      <c r="C25" s="9"/>
      <c r="D25" s="9"/>
      <c r="E25" s="9"/>
      <c r="F25" s="9"/>
      <c r="G25" s="9"/>
      <c r="H25" s="9"/>
      <c r="I25" s="9"/>
      <c r="J25" s="9"/>
      <c r="K25" s="9"/>
      <c r="N25" s="9"/>
      <c r="O25" s="2"/>
      <c r="P25" s="9"/>
    </row>
    <row r="26" spans="1:16" ht="13.15">
      <c r="N26" s="9"/>
      <c r="O26" s="2"/>
      <c r="P26" s="9"/>
    </row>
    <row r="27" spans="1:16" ht="13.15">
      <c r="N27" s="9"/>
      <c r="O27" s="2"/>
      <c r="P27" s="9"/>
    </row>
    <row r="28" spans="1:16" ht="13.15">
      <c r="N28" s="9"/>
      <c r="O28" s="2"/>
      <c r="P28" s="9"/>
    </row>
    <row r="29" spans="1:16" ht="13.15">
      <c r="B29" s="1"/>
      <c r="N29" s="9"/>
      <c r="O29" s="2"/>
      <c r="P29" s="9"/>
    </row>
    <row r="30" spans="1:16" ht="13.15">
      <c r="N30" s="9"/>
      <c r="O30" s="2"/>
      <c r="P30" s="9"/>
    </row>
    <row r="31" spans="1:16" ht="13.15">
      <c r="N31" s="9"/>
      <c r="O31" s="2"/>
      <c r="P31" s="9"/>
    </row>
    <row r="32" spans="1:16" ht="13.15">
      <c r="N32" s="9"/>
      <c r="O32" s="2"/>
      <c r="P32" s="9"/>
    </row>
    <row r="33" spans="15:16" ht="13.15">
      <c r="O33" s="2"/>
      <c r="P33" s="9"/>
    </row>
    <row r="34" spans="15:16" ht="13.15">
      <c r="O34" s="2"/>
      <c r="P34" s="9"/>
    </row>
    <row r="35" spans="15:16" ht="13.15">
      <c r="O35" s="2"/>
      <c r="P35" s="9"/>
    </row>
  </sheetData>
  <phoneticPr fontId="2" type="noConversion"/>
  <hyperlinks>
    <hyperlink ref="A1" location="Index!A1" display="Return to Index" xr:uid="{00000000-0004-0000-0900-000000000000}"/>
  </hyperlinks>
  <pageMargins left="0.75" right="0.75" top="1" bottom="1" header="0.5" footer="0.5"/>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9"/>
  <sheetViews>
    <sheetView workbookViewId="0"/>
  </sheetViews>
  <sheetFormatPr defaultRowHeight="12.75"/>
  <cols>
    <col min="1" max="1" width="38.33203125" customWidth="1"/>
  </cols>
  <sheetData>
    <row r="1" spans="1:10">
      <c r="A1" s="1" t="s">
        <v>106</v>
      </c>
    </row>
    <row r="3" spans="1:10" ht="17.649999999999999">
      <c r="A3" s="96" t="s">
        <v>183</v>
      </c>
      <c r="B3" s="84"/>
      <c r="C3" s="84"/>
      <c r="D3" s="84"/>
      <c r="E3" s="84"/>
      <c r="F3" s="84"/>
      <c r="G3" s="84"/>
      <c r="H3" s="84"/>
      <c r="I3" s="84"/>
      <c r="J3" s="84"/>
    </row>
    <row r="5" spans="1:10" ht="13.15">
      <c r="A5" s="85" t="s">
        <v>155</v>
      </c>
      <c r="B5" s="86"/>
      <c r="C5" s="173" t="s">
        <v>197</v>
      </c>
      <c r="D5" s="173"/>
      <c r="E5" s="173"/>
      <c r="F5" s="173"/>
    </row>
    <row r="6" spans="1:10" ht="13.15">
      <c r="A6" s="85" t="s">
        <v>306</v>
      </c>
      <c r="B6" s="86"/>
      <c r="C6" s="173" t="s">
        <v>31</v>
      </c>
      <c r="D6" s="173"/>
      <c r="E6" s="173"/>
      <c r="F6" s="173"/>
    </row>
    <row r="7" spans="1:10" ht="13.15">
      <c r="A7" s="85"/>
      <c r="B7" s="86"/>
      <c r="C7" s="86"/>
      <c r="D7" s="86"/>
      <c r="E7" s="84"/>
      <c r="F7" s="84"/>
    </row>
    <row r="8" spans="1:10">
      <c r="B8" s="6"/>
    </row>
    <row r="9" spans="1:10" ht="13.15">
      <c r="B9" s="2">
        <v>2006</v>
      </c>
      <c r="C9" s="2">
        <v>2016</v>
      </c>
      <c r="D9" s="2">
        <v>2018</v>
      </c>
      <c r="E9" s="2">
        <v>2020</v>
      </c>
      <c r="F9" s="2">
        <v>2022</v>
      </c>
    </row>
    <row r="10" spans="1:10">
      <c r="A10" s="80" t="s">
        <v>328</v>
      </c>
      <c r="B10" s="61">
        <v>63</v>
      </c>
      <c r="C10" s="61">
        <v>65</v>
      </c>
      <c r="D10" s="61">
        <v>62</v>
      </c>
      <c r="E10" s="61">
        <v>56</v>
      </c>
      <c r="F10" s="61">
        <v>57</v>
      </c>
    </row>
    <row r="11" spans="1:10">
      <c r="A11" s="80"/>
      <c r="B11" s="6"/>
      <c r="E11" s="13"/>
    </row>
    <row r="12" spans="1:10">
      <c r="B12" s="6"/>
    </row>
    <row r="14" spans="1:10">
      <c r="B14" s="1"/>
    </row>
    <row r="19" spans="1:15">
      <c r="B19" s="1"/>
    </row>
    <row r="20" spans="1:15">
      <c r="B20" s="1"/>
    </row>
    <row r="21" spans="1:15" ht="13.15">
      <c r="A21" s="2"/>
      <c r="B21" s="10"/>
      <c r="C21" s="10"/>
      <c r="D21" s="10"/>
      <c r="E21" s="10"/>
      <c r="F21" s="10"/>
      <c r="G21" s="10"/>
      <c r="H21" s="10"/>
    </row>
    <row r="22" spans="1:15" ht="13.15">
      <c r="A22" s="2"/>
      <c r="B22" s="10"/>
      <c r="C22" s="10"/>
      <c r="D22" s="10"/>
      <c r="E22" s="10"/>
      <c r="F22" s="10"/>
      <c r="G22" s="10"/>
      <c r="H22" s="10"/>
    </row>
    <row r="25" spans="1:15">
      <c r="B25" s="13"/>
      <c r="C25" s="13"/>
      <c r="D25" s="13"/>
      <c r="E25" s="13"/>
      <c r="F25" s="13"/>
      <c r="G25" s="13"/>
      <c r="H25" s="13"/>
    </row>
    <row r="26" spans="1:15">
      <c r="B26" s="13"/>
      <c r="C26" s="13"/>
      <c r="D26" s="13"/>
      <c r="E26" s="13"/>
      <c r="F26" s="13"/>
      <c r="G26" s="13"/>
      <c r="H26" s="13"/>
    </row>
    <row r="27" spans="1:15">
      <c r="B27" s="13"/>
      <c r="C27" s="13"/>
      <c r="D27" s="13"/>
      <c r="E27" s="13"/>
      <c r="F27" s="13"/>
      <c r="G27" s="13"/>
      <c r="H27" s="13"/>
    </row>
    <row r="28" spans="1:15">
      <c r="B28" s="16"/>
      <c r="C28" s="16"/>
      <c r="D28" s="16"/>
      <c r="E28" s="16"/>
      <c r="F28" s="16"/>
      <c r="G28" s="16"/>
      <c r="H28" s="16"/>
    </row>
    <row r="29" spans="1:15">
      <c r="A29" s="77"/>
      <c r="B29" s="78"/>
      <c r="C29" s="77"/>
      <c r="D29" s="76"/>
      <c r="E29" s="76"/>
      <c r="F29" s="76"/>
      <c r="G29" s="76"/>
      <c r="H29" s="76"/>
    </row>
    <row r="30" spans="1:15">
      <c r="B30" s="76"/>
      <c r="C30" s="76"/>
      <c r="D30" s="76"/>
      <c r="E30" s="76"/>
      <c r="F30" s="76"/>
      <c r="G30" s="76"/>
      <c r="H30" s="76"/>
    </row>
    <row r="32" spans="1:15" ht="12.75" customHeight="1">
      <c r="A32" s="2"/>
      <c r="B32" s="10"/>
      <c r="C32" s="10"/>
      <c r="D32" s="10"/>
      <c r="E32" s="10"/>
      <c r="F32" s="10"/>
      <c r="G32" s="10"/>
      <c r="H32" s="10"/>
      <c r="I32" s="10"/>
      <c r="J32" s="10"/>
      <c r="K32" s="10"/>
      <c r="L32" s="10"/>
      <c r="M32" s="10"/>
      <c r="N32" s="10"/>
      <c r="O32" s="10"/>
    </row>
    <row r="33" spans="1:15" ht="12.75" customHeight="1">
      <c r="A33" s="2"/>
      <c r="B33" s="10"/>
      <c r="C33" s="10"/>
      <c r="D33" s="10"/>
      <c r="E33" s="10"/>
      <c r="F33" s="10"/>
      <c r="G33" s="10"/>
      <c r="H33" s="10"/>
      <c r="I33" s="10"/>
      <c r="J33" s="10"/>
      <c r="K33" s="10"/>
      <c r="L33" s="10"/>
      <c r="M33" s="10"/>
      <c r="N33" s="10"/>
      <c r="O33" s="10"/>
    </row>
    <row r="34" spans="1:15" ht="12.75" customHeight="1"/>
    <row r="35" spans="1:15" ht="12.75" customHeight="1"/>
    <row r="36" spans="1:15">
      <c r="B36" s="13"/>
      <c r="C36" s="13"/>
      <c r="D36" s="13"/>
      <c r="E36" s="13"/>
      <c r="F36" s="13"/>
      <c r="G36" s="13"/>
      <c r="H36" s="13"/>
      <c r="M36" s="28"/>
    </row>
    <row r="37" spans="1:15">
      <c r="B37" s="13"/>
      <c r="C37" s="13"/>
      <c r="D37" s="13"/>
      <c r="E37" s="13"/>
      <c r="F37" s="13"/>
      <c r="G37" s="13"/>
      <c r="H37" s="13"/>
      <c r="M37" s="28"/>
    </row>
    <row r="38" spans="1:15">
      <c r="B38" s="13"/>
      <c r="C38" s="13"/>
      <c r="D38" s="13"/>
      <c r="E38" s="13"/>
      <c r="F38" s="13"/>
      <c r="G38" s="13"/>
      <c r="H38" s="13"/>
      <c r="M38" s="29"/>
    </row>
    <row r="39" spans="1:15">
      <c r="B39" s="13"/>
      <c r="C39" s="13"/>
      <c r="D39" s="13"/>
      <c r="E39" s="13"/>
      <c r="F39" s="13"/>
      <c r="G39" s="13"/>
      <c r="H39" s="13"/>
      <c r="M39" s="30"/>
    </row>
  </sheetData>
  <phoneticPr fontId="2" type="noConversion"/>
  <hyperlinks>
    <hyperlink ref="A1" location="Index!A1" display="Return to Index" xr:uid="{00000000-0004-0000-0C00-000000000000}"/>
  </hyperlinks>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3"/>
  <sheetViews>
    <sheetView workbookViewId="0"/>
  </sheetViews>
  <sheetFormatPr defaultRowHeight="12.75"/>
  <cols>
    <col min="1" max="1" width="49.6640625" customWidth="1"/>
    <col min="2" max="4" width="10.86328125" customWidth="1"/>
    <col min="13" max="13" width="32.86328125" customWidth="1"/>
  </cols>
  <sheetData>
    <row r="1" spans="1:9">
      <c r="A1" s="1" t="s">
        <v>106</v>
      </c>
    </row>
    <row r="3" spans="1:9" ht="17.649999999999999">
      <c r="A3" s="83" t="s">
        <v>183</v>
      </c>
      <c r="B3" s="84"/>
      <c r="C3" s="84"/>
      <c r="D3" s="84"/>
      <c r="E3" s="84"/>
      <c r="F3" s="84"/>
      <c r="G3" s="84"/>
      <c r="H3" s="84"/>
      <c r="I3" s="84"/>
    </row>
    <row r="4" spans="1:9">
      <c r="B4" s="86"/>
      <c r="C4" s="86"/>
      <c r="D4" s="86"/>
      <c r="E4" s="86"/>
    </row>
    <row r="5" spans="1:9" ht="13.15">
      <c r="A5" s="2" t="s">
        <v>36</v>
      </c>
      <c r="B5" s="173" t="s">
        <v>201</v>
      </c>
      <c r="C5" s="173"/>
      <c r="D5" s="173"/>
      <c r="E5" s="86"/>
    </row>
    <row r="6" spans="1:9" ht="13.15">
      <c r="A6" s="2" t="s">
        <v>21</v>
      </c>
      <c r="B6" s="173" t="s">
        <v>31</v>
      </c>
      <c r="C6" s="173"/>
      <c r="D6" s="173"/>
      <c r="E6" s="86"/>
    </row>
    <row r="8" spans="1:9" ht="13.15">
      <c r="B8" s="2">
        <v>1996</v>
      </c>
      <c r="C8" s="2">
        <v>2001</v>
      </c>
      <c r="D8" s="2">
        <v>2006</v>
      </c>
      <c r="E8" s="2">
        <v>2013</v>
      </c>
      <c r="F8" s="2">
        <v>2018</v>
      </c>
    </row>
    <row r="9" spans="1:9">
      <c r="A9" s="21" t="s">
        <v>202</v>
      </c>
      <c r="B9" s="13">
        <v>6.2926277547383194</v>
      </c>
      <c r="C9" s="13">
        <v>6.3873314138505801</v>
      </c>
      <c r="D9" s="13">
        <v>5.8097856484508599</v>
      </c>
      <c r="E9" s="13">
        <v>5.2784528826358104</v>
      </c>
      <c r="F9" s="13">
        <v>5.9</v>
      </c>
    </row>
    <row r="33" ht="15" customHeight="1"/>
  </sheetData>
  <phoneticPr fontId="2" type="noConversion"/>
  <hyperlinks>
    <hyperlink ref="A1" location="Index!A1" display="Return to Index" xr:uid="{00000000-0004-0000-1000-000000000000}"/>
  </hyperlinks>
  <pageMargins left="0.75" right="0.75" top="1" bottom="1" header="0.5" footer="0.5"/>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8"/>
  <sheetViews>
    <sheetView workbookViewId="0"/>
  </sheetViews>
  <sheetFormatPr defaultRowHeight="12.75"/>
  <cols>
    <col min="1" max="1" width="67.1328125" customWidth="1"/>
  </cols>
  <sheetData>
    <row r="1" spans="1:7">
      <c r="A1" s="1" t="s">
        <v>106</v>
      </c>
    </row>
    <row r="3" spans="1:7" ht="17.649999999999999">
      <c r="A3" s="83" t="s">
        <v>183</v>
      </c>
    </row>
    <row r="5" spans="1:7" ht="13.15">
      <c r="A5" s="2" t="s">
        <v>82</v>
      </c>
      <c r="C5" s="173" t="s">
        <v>203</v>
      </c>
      <c r="D5" s="173"/>
      <c r="E5" s="173"/>
    </row>
    <row r="6" spans="1:7" ht="13.15">
      <c r="A6" s="2" t="s">
        <v>137</v>
      </c>
      <c r="C6" s="173" t="s">
        <v>31</v>
      </c>
      <c r="D6" s="173"/>
      <c r="E6" s="173"/>
    </row>
    <row r="7" spans="1:7">
      <c r="A7" s="21"/>
    </row>
    <row r="8" spans="1:7" ht="13.15">
      <c r="A8" s="2"/>
      <c r="B8" s="2">
        <v>2007</v>
      </c>
      <c r="C8" s="2">
        <v>2010</v>
      </c>
      <c r="D8" s="2">
        <v>2013</v>
      </c>
      <c r="E8" s="2">
        <v>2016</v>
      </c>
      <c r="F8" s="12">
        <v>2019</v>
      </c>
      <c r="G8" s="2">
        <v>2022</v>
      </c>
    </row>
    <row r="9" spans="1:7">
      <c r="A9" s="21" t="s">
        <v>520</v>
      </c>
      <c r="B9" s="80">
        <v>38.609599886010614</v>
      </c>
      <c r="C9" s="80">
        <v>42.182257232939804</v>
      </c>
      <c r="D9" s="80">
        <v>39.991982762325776</v>
      </c>
      <c r="E9" s="80">
        <v>37.707354268702609</v>
      </c>
      <c r="F9" s="80">
        <v>43.482147652002553</v>
      </c>
      <c r="G9" s="80">
        <v>38.018424286531761</v>
      </c>
    </row>
    <row r="26" spans="1:10">
      <c r="C26" s="23"/>
      <c r="D26" s="23"/>
      <c r="E26" s="23"/>
      <c r="F26" s="23"/>
      <c r="G26" s="23"/>
      <c r="H26" s="23"/>
      <c r="I26" s="23"/>
      <c r="J26" s="11"/>
    </row>
    <row r="27" spans="1:10">
      <c r="A27" s="15"/>
      <c r="C27" s="23"/>
      <c r="D27" s="23"/>
      <c r="E27" s="23"/>
      <c r="F27" s="23"/>
      <c r="G27" s="23"/>
      <c r="H27" s="23"/>
      <c r="I27" s="23"/>
      <c r="J27" s="23"/>
    </row>
    <row r="28" spans="1:10">
      <c r="A28" s="15"/>
      <c r="C28" s="23"/>
      <c r="D28" s="23"/>
      <c r="E28" s="23"/>
      <c r="F28" s="23"/>
      <c r="G28" s="23"/>
      <c r="H28" s="23"/>
      <c r="I28" s="23"/>
      <c r="J28" s="23"/>
    </row>
    <row r="29" spans="1:10">
      <c r="A29" s="15"/>
      <c r="C29" s="23"/>
      <c r="D29" s="23"/>
      <c r="E29" s="23"/>
      <c r="F29" s="23"/>
      <c r="G29" s="23"/>
      <c r="H29" s="23"/>
      <c r="I29" s="23"/>
      <c r="J29" s="23"/>
    </row>
    <row r="30" spans="1:10" ht="13.15">
      <c r="A30" s="15"/>
      <c r="B30" s="2"/>
      <c r="C30" s="24"/>
      <c r="D30" s="24"/>
      <c r="E30" s="24"/>
      <c r="F30" s="24"/>
      <c r="G30" s="24"/>
      <c r="H30" s="24"/>
      <c r="I30" s="24"/>
      <c r="J30" s="25"/>
    </row>
    <row r="31" spans="1:10">
      <c r="A31" s="15"/>
      <c r="C31" s="23"/>
      <c r="D31" s="23"/>
      <c r="E31" s="23"/>
      <c r="F31" s="23"/>
      <c r="G31" s="23"/>
      <c r="H31" s="23"/>
      <c r="I31" s="23"/>
      <c r="J31" s="23"/>
    </row>
    <row r="32" spans="1:10">
      <c r="A32" s="15"/>
      <c r="C32" s="23"/>
      <c r="D32" s="23"/>
      <c r="E32" s="23"/>
      <c r="F32" s="23"/>
      <c r="G32" s="23"/>
      <c r="H32" s="23"/>
      <c r="I32" s="23"/>
      <c r="J32" s="23"/>
    </row>
    <row r="33" spans="1:10">
      <c r="A33" s="15"/>
      <c r="C33" s="23"/>
      <c r="D33" s="23"/>
      <c r="E33" s="23"/>
      <c r="F33" s="23"/>
      <c r="G33" s="23"/>
      <c r="H33" s="23"/>
      <c r="I33" s="23"/>
      <c r="J33" s="23"/>
    </row>
    <row r="34" spans="1:10">
      <c r="A34" s="15"/>
      <c r="C34" s="23"/>
      <c r="D34" s="23"/>
      <c r="E34" s="23"/>
      <c r="F34" s="23"/>
      <c r="G34" s="23"/>
      <c r="H34" s="23"/>
      <c r="I34" s="23"/>
      <c r="J34" s="23"/>
    </row>
    <row r="35" spans="1:10">
      <c r="A35" s="15"/>
      <c r="C35" s="23"/>
      <c r="D35" s="23"/>
      <c r="E35" s="23"/>
      <c r="F35" s="23"/>
      <c r="G35" s="23"/>
      <c r="H35" s="23"/>
      <c r="I35" s="23"/>
      <c r="J35" s="23"/>
    </row>
    <row r="36" spans="1:10">
      <c r="A36" s="15"/>
      <c r="C36" s="23"/>
      <c r="D36" s="23"/>
      <c r="E36" s="23"/>
      <c r="F36" s="23"/>
      <c r="G36" s="23"/>
      <c r="H36" s="23"/>
      <c r="I36" s="23"/>
      <c r="J36" s="23"/>
    </row>
    <row r="37" spans="1:10">
      <c r="A37" s="15"/>
      <c r="C37" s="23"/>
      <c r="D37" s="23"/>
      <c r="E37" s="23"/>
      <c r="F37" s="23"/>
      <c r="G37" s="23"/>
      <c r="H37" s="23"/>
      <c r="I37" s="23"/>
      <c r="J37" s="23"/>
    </row>
    <row r="38" spans="1:10">
      <c r="A38" s="15"/>
      <c r="C38" s="23"/>
      <c r="D38" s="23"/>
      <c r="E38" s="23"/>
      <c r="F38" s="23"/>
      <c r="G38" s="23"/>
      <c r="H38" s="23"/>
      <c r="I38" s="23"/>
      <c r="J38" s="23"/>
    </row>
  </sheetData>
  <phoneticPr fontId="2" type="noConversion"/>
  <hyperlinks>
    <hyperlink ref="A1" location="Index!A1" display="Return to Index" xr:uid="{00000000-0004-0000-1100-000000000000}"/>
  </hyperlinks>
  <pageMargins left="0.75" right="0.75" top="1" bottom="1" header="0.5" footer="0.5"/>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V39"/>
  <sheetViews>
    <sheetView workbookViewId="0"/>
  </sheetViews>
  <sheetFormatPr defaultRowHeight="12.75"/>
  <cols>
    <col min="1" max="1" width="23.53125" customWidth="1"/>
    <col min="2" max="15" width="10.6640625" customWidth="1"/>
    <col min="27" max="27" width="11.86328125" customWidth="1"/>
    <col min="28" max="28" width="13.86328125" customWidth="1"/>
    <col min="29" max="29" width="13.53125" customWidth="1"/>
    <col min="30" max="30" width="14.46484375" customWidth="1"/>
    <col min="31" max="31" width="12.46484375" customWidth="1"/>
    <col min="34" max="34" width="13.86328125" customWidth="1"/>
    <col min="41" max="41" width="13.46484375" customWidth="1"/>
    <col min="42" max="42" width="10.46484375" customWidth="1"/>
    <col min="43" max="44" width="12" customWidth="1"/>
    <col min="51" max="51" width="14.53125" customWidth="1"/>
    <col min="52" max="52" width="11.33203125" customWidth="1"/>
    <col min="53" max="53" width="14.46484375" customWidth="1"/>
    <col min="61" max="61" width="13.46484375" customWidth="1"/>
  </cols>
  <sheetData>
    <row r="1" spans="1:22">
      <c r="A1" s="1" t="s">
        <v>106</v>
      </c>
    </row>
    <row r="3" spans="1:22" ht="17.649999999999999">
      <c r="A3" s="96" t="s">
        <v>183</v>
      </c>
      <c r="B3" s="84"/>
      <c r="C3" s="84"/>
      <c r="D3" s="84"/>
      <c r="E3" s="84"/>
      <c r="F3" s="84"/>
    </row>
    <row r="5" spans="1:22" ht="13.15">
      <c r="A5" s="85" t="s">
        <v>18</v>
      </c>
      <c r="B5" s="84"/>
      <c r="C5" s="84"/>
      <c r="D5" s="175" t="s">
        <v>219</v>
      </c>
      <c r="E5" s="175"/>
      <c r="F5" s="176"/>
    </row>
    <row r="6" spans="1:22" ht="13.15">
      <c r="A6" s="85" t="s">
        <v>100</v>
      </c>
      <c r="B6" s="84"/>
      <c r="C6" s="84"/>
      <c r="D6" s="175" t="s">
        <v>215</v>
      </c>
      <c r="E6" s="175"/>
      <c r="F6" s="176"/>
    </row>
    <row r="7" spans="1:22">
      <c r="B7" s="21"/>
    </row>
    <row r="8" spans="1:22" ht="13.15">
      <c r="B8" s="2">
        <v>2003</v>
      </c>
      <c r="C8" s="2">
        <v>2004</v>
      </c>
      <c r="D8" s="2">
        <v>2005</v>
      </c>
      <c r="E8" s="2">
        <v>2006</v>
      </c>
      <c r="F8" s="2">
        <v>2007</v>
      </c>
      <c r="G8" s="2">
        <v>2008</v>
      </c>
      <c r="H8" s="2">
        <v>2009</v>
      </c>
      <c r="I8" s="2">
        <v>2010</v>
      </c>
      <c r="J8" s="2">
        <v>2011</v>
      </c>
      <c r="K8" s="2">
        <v>2012</v>
      </c>
      <c r="L8" s="2">
        <v>2013</v>
      </c>
      <c r="M8" s="2">
        <v>2014</v>
      </c>
      <c r="N8" s="2">
        <v>2015</v>
      </c>
      <c r="O8" s="2">
        <v>2016</v>
      </c>
      <c r="P8" s="2">
        <v>2017</v>
      </c>
      <c r="Q8" s="2">
        <v>2018</v>
      </c>
      <c r="R8" s="2">
        <v>2019</v>
      </c>
      <c r="S8" s="2">
        <v>2020</v>
      </c>
      <c r="T8" s="2">
        <v>2021</v>
      </c>
      <c r="U8" s="2">
        <v>2022</v>
      </c>
      <c r="V8" s="2">
        <v>2023</v>
      </c>
    </row>
    <row r="9" spans="1:22">
      <c r="A9" t="s">
        <v>220</v>
      </c>
      <c r="B9">
        <v>27</v>
      </c>
      <c r="C9">
        <v>50</v>
      </c>
      <c r="D9">
        <v>38</v>
      </c>
      <c r="E9">
        <v>47</v>
      </c>
      <c r="F9">
        <v>20</v>
      </c>
      <c r="G9">
        <v>28</v>
      </c>
      <c r="H9">
        <v>38</v>
      </c>
      <c r="I9">
        <v>22</v>
      </c>
      <c r="J9">
        <v>20</v>
      </c>
      <c r="K9">
        <v>17</v>
      </c>
      <c r="L9">
        <v>12</v>
      </c>
      <c r="M9">
        <v>11</v>
      </c>
      <c r="N9">
        <v>10</v>
      </c>
      <c r="O9">
        <v>5</v>
      </c>
      <c r="P9">
        <v>12</v>
      </c>
      <c r="Q9">
        <v>2</v>
      </c>
      <c r="R9">
        <v>5</v>
      </c>
      <c r="S9">
        <v>13</v>
      </c>
      <c r="T9">
        <v>39</v>
      </c>
      <c r="U9">
        <v>15</v>
      </c>
      <c r="V9">
        <v>18</v>
      </c>
    </row>
    <row r="39" spans="2:2">
      <c r="B39" s="1"/>
    </row>
  </sheetData>
  <phoneticPr fontId="2" type="noConversion"/>
  <hyperlinks>
    <hyperlink ref="A1" location="Index!A1" display="Return to Index" xr:uid="{00000000-0004-0000-1D00-000000000000}"/>
  </hyperlink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28"/>
  <sheetViews>
    <sheetView showGridLines="0" zoomScale="85" zoomScaleNormal="85" workbookViewId="0"/>
  </sheetViews>
  <sheetFormatPr defaultColWidth="9.1328125" defaultRowHeight="12.75"/>
  <cols>
    <col min="1" max="1" width="3.46484375" style="107" customWidth="1"/>
    <col min="2" max="2" width="19.46484375" style="107" customWidth="1"/>
    <col min="3" max="3" width="42.6640625" style="107" customWidth="1"/>
    <col min="4" max="4" width="19.46484375" style="107" customWidth="1"/>
    <col min="5" max="5" width="42.6640625" style="107" customWidth="1"/>
    <col min="6" max="6" width="19.46484375" style="107" customWidth="1"/>
    <col min="7" max="7" width="39.46484375" style="107" customWidth="1"/>
    <col min="8" max="8" width="20.6640625" style="107" customWidth="1"/>
    <col min="9" max="9" width="2.86328125" style="107" customWidth="1"/>
    <col min="10" max="16384" width="9.1328125" style="107"/>
  </cols>
  <sheetData>
    <row r="1" spans="2:8">
      <c r="B1" s="106" t="s">
        <v>106</v>
      </c>
      <c r="C1" s="106"/>
    </row>
    <row r="3" spans="2:8" ht="17.649999999999999">
      <c r="B3" s="108" t="s">
        <v>349</v>
      </c>
      <c r="C3" s="108"/>
      <c r="D3" s="166"/>
    </row>
    <row r="5" spans="2:8">
      <c r="B5" s="200" t="s">
        <v>518</v>
      </c>
      <c r="C5" s="109"/>
    </row>
    <row r="6" spans="2:8" ht="23.25" customHeight="1">
      <c r="G6" s="110" t="str">
        <f>'File description'!A7</f>
        <v>8 July 2024</v>
      </c>
    </row>
    <row r="8" spans="2:8" ht="89.25">
      <c r="B8" s="152" t="s">
        <v>538</v>
      </c>
      <c r="C8" s="152"/>
      <c r="D8" s="152"/>
      <c r="E8" s="152"/>
      <c r="F8" s="211" t="s">
        <v>91</v>
      </c>
      <c r="G8" s="211"/>
    </row>
    <row r="9" spans="2:8" ht="34.5">
      <c r="B9" s="153" t="s">
        <v>427</v>
      </c>
      <c r="C9" s="153"/>
      <c r="D9" s="153"/>
      <c r="E9" s="153"/>
      <c r="F9" s="212" t="s">
        <v>428</v>
      </c>
      <c r="G9" s="212"/>
    </row>
    <row r="10" spans="2:8">
      <c r="B10" s="149"/>
      <c r="C10" s="149"/>
      <c r="D10" s="149"/>
      <c r="E10" s="149"/>
      <c r="F10" s="213" t="s">
        <v>429</v>
      </c>
      <c r="G10" s="213"/>
    </row>
    <row r="11" spans="2:8" ht="24" customHeight="1">
      <c r="B11" s="214" t="s">
        <v>430</v>
      </c>
      <c r="C11" s="214"/>
      <c r="D11" s="214"/>
      <c r="E11" s="214"/>
      <c r="F11" s="214"/>
      <c r="G11" s="214"/>
      <c r="H11" s="214"/>
    </row>
    <row r="12" spans="2:8" ht="24" customHeight="1">
      <c r="B12" s="154"/>
      <c r="C12" s="154"/>
      <c r="D12" s="154"/>
      <c r="E12" s="154"/>
      <c r="F12" s="154"/>
      <c r="G12" s="154"/>
      <c r="H12" s="154"/>
    </row>
    <row r="13" spans="2:8" ht="89.45" customHeight="1">
      <c r="B13" s="218" t="s">
        <v>539</v>
      </c>
      <c r="C13" s="218"/>
      <c r="D13" s="218"/>
      <c r="E13" s="218"/>
      <c r="F13" s="216" t="s">
        <v>378</v>
      </c>
      <c r="G13" s="217"/>
    </row>
    <row r="14" spans="2:8" ht="33" customHeight="1">
      <c r="B14" s="151"/>
      <c r="C14" s="151"/>
      <c r="D14" s="151"/>
      <c r="E14" s="151"/>
      <c r="F14" s="165"/>
      <c r="G14" s="165"/>
    </row>
    <row r="15" spans="2:8" ht="75.75" customHeight="1">
      <c r="B15" s="215"/>
      <c r="C15" s="215"/>
      <c r="D15" s="208" t="str">
        <f>+'WPI Score Card'!D16</f>
        <v>§</v>
      </c>
      <c r="E15" s="150" t="s">
        <v>431</v>
      </c>
      <c r="F15" s="157" t="str">
        <f>+'WPI Score Card'!D17</f>
        <v>§</v>
      </c>
      <c r="G15" s="150" t="s">
        <v>432</v>
      </c>
    </row>
    <row r="16" spans="2:8" ht="75.75" customHeight="1">
      <c r="B16" s="155" t="str">
        <f>+'WPI Score Card'!D18</f>
        <v>é</v>
      </c>
      <c r="C16" s="150" t="s">
        <v>434</v>
      </c>
      <c r="D16" s="155" t="str">
        <f>+'WPI Score Card'!D19</f>
        <v>é</v>
      </c>
      <c r="E16" s="150" t="s">
        <v>435</v>
      </c>
      <c r="F16" s="156" t="str">
        <f>+'WPI Score Card'!D20</f>
        <v>ê</v>
      </c>
      <c r="G16" s="150" t="s">
        <v>436</v>
      </c>
    </row>
    <row r="17" spans="2:7" ht="36" customHeight="1">
      <c r="B17" s="155"/>
      <c r="C17" s="150"/>
      <c r="D17" s="155"/>
      <c r="E17" s="150"/>
      <c r="F17" s="156"/>
      <c r="G17" s="150"/>
    </row>
    <row r="18" spans="2:7" ht="75.75" customHeight="1">
      <c r="D18" s="156" t="str">
        <f>+'WPI Score Card'!D22</f>
        <v>ê</v>
      </c>
      <c r="E18" s="150" t="s">
        <v>437</v>
      </c>
      <c r="F18" s="156" t="str">
        <f>+'WPI Score Card'!D23</f>
        <v>ê</v>
      </c>
      <c r="G18" s="150" t="s">
        <v>438</v>
      </c>
    </row>
    <row r="19" spans="2:7" ht="75.75" customHeight="1">
      <c r="B19" s="156" t="str">
        <f>+'WPI Score Card'!D24</f>
        <v>ê</v>
      </c>
      <c r="C19" s="150" t="s">
        <v>439</v>
      </c>
      <c r="D19" s="156" t="str">
        <f>+'WPI Score Card'!D25</f>
        <v>ê</v>
      </c>
      <c r="E19" s="150" t="s">
        <v>440</v>
      </c>
      <c r="F19" s="155" t="str">
        <f>+'WPI Score Card'!D26</f>
        <v>é</v>
      </c>
      <c r="G19" s="150" t="s">
        <v>441</v>
      </c>
    </row>
    <row r="20" spans="2:7" ht="75.75" customHeight="1">
      <c r="B20" s="157" t="str">
        <f>+'WPI Score Card'!D27</f>
        <v>§</v>
      </c>
      <c r="C20" s="150" t="s">
        <v>433</v>
      </c>
      <c r="D20" s="157" t="str">
        <f>+'WPI Score Card'!D28</f>
        <v>§</v>
      </c>
      <c r="E20" s="150" t="s">
        <v>442</v>
      </c>
      <c r="F20" s="155" t="str">
        <f>+'WPI Score Card'!D29</f>
        <v>é</v>
      </c>
      <c r="G20" s="150" t="s">
        <v>443</v>
      </c>
    </row>
    <row r="21" spans="2:7" ht="75.75" customHeight="1">
      <c r="B21" s="156" t="str">
        <f>+'WPI Score Card'!D30</f>
        <v>ê</v>
      </c>
      <c r="C21" s="150" t="s">
        <v>444</v>
      </c>
      <c r="D21" s="156" t="str">
        <f>+'WPI Score Card'!D31</f>
        <v>ê</v>
      </c>
      <c r="E21" s="150" t="s">
        <v>445</v>
      </c>
      <c r="F21" s="155" t="str">
        <f>+'WPI Score Card'!D32</f>
        <v>é</v>
      </c>
      <c r="G21" s="150" t="s">
        <v>446</v>
      </c>
    </row>
    <row r="22" spans="2:7" ht="75.75" customHeight="1">
      <c r="B22" s="156" t="str">
        <f>+'WPI Score Card'!D33</f>
        <v>ê</v>
      </c>
      <c r="C22" s="150" t="s">
        <v>448</v>
      </c>
      <c r="D22" s="156" t="str">
        <f>+'WPI Score Card'!D34</f>
        <v>ê</v>
      </c>
      <c r="E22" s="150" t="s">
        <v>449</v>
      </c>
      <c r="F22" s="155" t="str">
        <f>+'WPI Score Card'!D35</f>
        <v>é</v>
      </c>
      <c r="G22" s="150" t="s">
        <v>450</v>
      </c>
    </row>
    <row r="23" spans="2:7" ht="75.75" customHeight="1">
      <c r="B23" s="156" t="str">
        <f>+'WPI Score Card'!D36</f>
        <v>ê</v>
      </c>
      <c r="C23" s="150" t="s">
        <v>451</v>
      </c>
      <c r="D23" s="157" t="str">
        <f>+'WPI Score Card'!D37</f>
        <v>§</v>
      </c>
      <c r="E23" s="150" t="s">
        <v>452</v>
      </c>
      <c r="F23" s="208" t="str">
        <f>+'WPI Score Card'!D38</f>
        <v>§</v>
      </c>
      <c r="G23" s="150" t="s">
        <v>522</v>
      </c>
    </row>
    <row r="24" spans="2:7" ht="36" customHeight="1">
      <c r="B24" s="155"/>
      <c r="C24" s="150"/>
      <c r="F24" s="155"/>
      <c r="G24" s="150"/>
    </row>
    <row r="25" spans="2:7" ht="75.75" customHeight="1">
      <c r="D25" s="208" t="str">
        <f>+'WPI Score Card'!D40</f>
        <v>§</v>
      </c>
      <c r="E25" s="150" t="s">
        <v>454</v>
      </c>
      <c r="F25" s="157" t="str">
        <f>+'WPI Score Card'!D41</f>
        <v>§</v>
      </c>
      <c r="G25" s="150" t="s">
        <v>455</v>
      </c>
    </row>
    <row r="26" spans="2:7" ht="75.75" customHeight="1">
      <c r="B26" s="157" t="str">
        <f>+'WPI Score Card'!D42</f>
        <v>§</v>
      </c>
      <c r="C26" s="150" t="s">
        <v>456</v>
      </c>
      <c r="D26" s="157" t="str">
        <f>+'WPI Score Card'!D43</f>
        <v>§</v>
      </c>
      <c r="E26" s="150" t="s">
        <v>447</v>
      </c>
      <c r="F26" s="157" t="str">
        <f>+'WPI Score Card'!D44</f>
        <v>§</v>
      </c>
      <c r="G26" s="150" t="s">
        <v>457</v>
      </c>
    </row>
    <row r="27" spans="2:7" ht="75.75" customHeight="1">
      <c r="B27" s="155" t="str">
        <f>+'WPI Score Card'!D45</f>
        <v>é</v>
      </c>
      <c r="C27" s="150" t="s">
        <v>458</v>
      </c>
      <c r="D27" s="156" t="str">
        <f>+'WPI Score Card'!D46</f>
        <v>ê</v>
      </c>
      <c r="E27" s="150" t="s">
        <v>497</v>
      </c>
      <c r="F27" s="157" t="str">
        <f>+'WPI Score Card'!D47</f>
        <v>§</v>
      </c>
      <c r="G27" s="150" t="s">
        <v>453</v>
      </c>
    </row>
    <row r="28" spans="2:7" ht="75.75" customHeight="1">
      <c r="B28" s="208" t="str">
        <f>+'WPI Score Card'!D48</f>
        <v>§</v>
      </c>
      <c r="C28" s="150" t="s">
        <v>459</v>
      </c>
      <c r="D28" s="156" t="str">
        <f>+'WPI Score Card'!D49</f>
        <v>ê</v>
      </c>
      <c r="E28" s="150" t="s">
        <v>460</v>
      </c>
    </row>
  </sheetData>
  <mergeCells count="7">
    <mergeCell ref="F8:G8"/>
    <mergeCell ref="F9:G9"/>
    <mergeCell ref="F10:G10"/>
    <mergeCell ref="B11:H11"/>
    <mergeCell ref="B15:C15"/>
    <mergeCell ref="F13:G13"/>
    <mergeCell ref="B13:E13"/>
  </mergeCells>
  <hyperlinks>
    <hyperlink ref="B1" location="Index!A1" display="Return to Index" xr:uid="{00000000-0004-0000-0200-000000000000}"/>
  </hyperlinks>
  <pageMargins left="0.7" right="0.7" top="0.75" bottom="0.75" header="0.3" footer="0.3"/>
  <pageSetup scale="43"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40"/>
  <sheetViews>
    <sheetView workbookViewId="0"/>
  </sheetViews>
  <sheetFormatPr defaultRowHeight="12.75"/>
  <cols>
    <col min="1" max="1" width="52.1328125" customWidth="1"/>
    <col min="2" max="6" width="15.53125" customWidth="1"/>
  </cols>
  <sheetData>
    <row r="1" spans="1:11">
      <c r="A1" s="1" t="s">
        <v>106</v>
      </c>
    </row>
    <row r="3" spans="1:11" ht="17.649999999999999">
      <c r="A3" s="96" t="s">
        <v>183</v>
      </c>
    </row>
    <row r="5" spans="1:11" ht="13.15">
      <c r="A5" s="85" t="s">
        <v>360</v>
      </c>
      <c r="C5" s="175" t="s">
        <v>363</v>
      </c>
      <c r="D5" s="175"/>
    </row>
    <row r="6" spans="1:11" ht="13.15">
      <c r="A6" s="85" t="s">
        <v>100</v>
      </c>
      <c r="C6" s="175" t="s">
        <v>215</v>
      </c>
      <c r="D6" s="175"/>
    </row>
    <row r="8" spans="1:11" ht="13.15">
      <c r="A8" s="111" t="s">
        <v>361</v>
      </c>
      <c r="B8" s="14"/>
      <c r="C8" s="14"/>
      <c r="D8" s="14"/>
      <c r="E8" s="14"/>
      <c r="F8" s="14"/>
      <c r="G8" s="14"/>
    </row>
    <row r="9" spans="1:11" ht="13.15">
      <c r="A9" s="14"/>
      <c r="B9" s="2">
        <v>2012</v>
      </c>
      <c r="C9" s="2">
        <v>2013</v>
      </c>
      <c r="D9" s="2">
        <v>2014</v>
      </c>
      <c r="E9" s="2">
        <v>2015</v>
      </c>
      <c r="F9" s="2">
        <v>2016</v>
      </c>
      <c r="G9" s="2">
        <v>2017</v>
      </c>
      <c r="H9" s="2">
        <v>2018</v>
      </c>
      <c r="I9" s="2">
        <v>2019</v>
      </c>
      <c r="J9" s="2">
        <v>2020</v>
      </c>
      <c r="K9" s="2">
        <v>2021</v>
      </c>
    </row>
    <row r="10" spans="1:11">
      <c r="A10" s="14" t="s">
        <v>362</v>
      </c>
      <c r="B10" s="51">
        <v>0.40307692307692311</v>
      </c>
      <c r="C10" s="51">
        <v>0.38230769230769235</v>
      </c>
      <c r="D10" s="51">
        <v>0.3792307692307692</v>
      </c>
      <c r="E10" s="51">
        <v>0.38446153846153847</v>
      </c>
      <c r="F10" s="51">
        <v>0.41219999999999996</v>
      </c>
      <c r="G10" s="51">
        <v>0.39726666666666666</v>
      </c>
      <c r="H10" s="51">
        <v>0.39433333333333331</v>
      </c>
      <c r="I10" s="51">
        <v>0.3596428571428571</v>
      </c>
      <c r="J10" s="51">
        <v>0.40404478780830483</v>
      </c>
      <c r="K10" s="51">
        <v>0.38586419462613525</v>
      </c>
    </row>
    <row r="11" spans="1:11">
      <c r="A11" s="14"/>
      <c r="B11" s="49"/>
      <c r="C11" s="49"/>
      <c r="D11" s="49"/>
      <c r="E11" s="49"/>
    </row>
    <row r="12" spans="1:11">
      <c r="A12" s="14"/>
      <c r="B12" s="49"/>
      <c r="C12" s="49"/>
      <c r="D12" s="49"/>
      <c r="E12" s="49"/>
    </row>
    <row r="13" spans="1:11">
      <c r="A13" s="14"/>
      <c r="B13" s="49"/>
      <c r="C13" s="49"/>
      <c r="D13" s="49"/>
      <c r="E13" s="49"/>
    </row>
    <row r="14" spans="1:11">
      <c r="A14" s="14"/>
      <c r="B14" s="49"/>
      <c r="C14" s="49"/>
      <c r="D14" s="49"/>
      <c r="E14" s="49"/>
    </row>
    <row r="15" spans="1:11">
      <c r="A15" s="14"/>
      <c r="B15" s="49"/>
      <c r="C15" s="49"/>
      <c r="D15" s="49"/>
      <c r="E15" s="49"/>
    </row>
    <row r="16" spans="1:11">
      <c r="A16" s="14"/>
      <c r="B16" s="49"/>
      <c r="C16" s="49"/>
      <c r="D16" s="49"/>
      <c r="E16" s="49"/>
    </row>
    <row r="17" spans="1:5">
      <c r="A17" s="14"/>
      <c r="B17" s="49"/>
      <c r="C17" s="49"/>
      <c r="D17" s="49"/>
      <c r="E17" s="49"/>
    </row>
    <row r="18" spans="1:5">
      <c r="A18" s="14"/>
      <c r="B18" s="49"/>
      <c r="C18" s="49"/>
      <c r="D18" s="49"/>
      <c r="E18" s="49"/>
    </row>
    <row r="19" spans="1:5">
      <c r="A19" s="14"/>
      <c r="B19" s="49"/>
      <c r="C19" s="49"/>
      <c r="D19" s="49"/>
      <c r="E19" s="49"/>
    </row>
    <row r="20" spans="1:5">
      <c r="A20" s="14"/>
      <c r="B20" s="49"/>
      <c r="C20" s="49"/>
      <c r="D20" s="49"/>
      <c r="E20" s="49"/>
    </row>
    <row r="21" spans="1:5">
      <c r="A21" s="14"/>
      <c r="B21" s="49"/>
      <c r="C21" s="49"/>
      <c r="D21" s="49"/>
      <c r="E21" s="49"/>
    </row>
    <row r="22" spans="1:5">
      <c r="A22" s="14"/>
      <c r="B22" s="49"/>
      <c r="C22" s="49"/>
      <c r="D22" s="49"/>
      <c r="E22" s="49"/>
    </row>
    <row r="23" spans="1:5">
      <c r="A23" s="14"/>
      <c r="B23" s="49"/>
      <c r="C23" s="49"/>
      <c r="D23" s="49"/>
      <c r="E23" s="49"/>
    </row>
    <row r="24" spans="1:5">
      <c r="A24" s="14"/>
      <c r="B24" s="49"/>
      <c r="C24" s="49"/>
      <c r="D24" s="49"/>
      <c r="E24" s="49"/>
    </row>
    <row r="25" spans="1:5">
      <c r="A25" s="14"/>
      <c r="B25" s="49"/>
      <c r="C25" s="49"/>
      <c r="D25" s="49"/>
      <c r="E25" s="49"/>
    </row>
    <row r="26" spans="1:5">
      <c r="A26" s="14"/>
      <c r="B26" s="49"/>
      <c r="C26" s="49"/>
      <c r="D26" s="49"/>
      <c r="E26" s="49"/>
    </row>
    <row r="27" spans="1:5">
      <c r="A27" s="14"/>
      <c r="B27" s="49"/>
      <c r="C27" s="49"/>
      <c r="D27" s="49"/>
      <c r="E27" s="49"/>
    </row>
    <row r="28" spans="1:5">
      <c r="A28" s="14"/>
      <c r="B28" s="49"/>
      <c r="C28" s="49"/>
      <c r="D28" s="49"/>
      <c r="E28" s="49"/>
    </row>
    <row r="29" spans="1:5">
      <c r="A29" s="14"/>
      <c r="B29" s="49"/>
      <c r="C29" s="49"/>
      <c r="D29" s="49"/>
      <c r="E29" s="49"/>
    </row>
    <row r="30" spans="1:5">
      <c r="A30" s="14"/>
      <c r="B30" s="49"/>
      <c r="C30" s="49"/>
      <c r="D30" s="49"/>
      <c r="E30" s="49"/>
    </row>
    <row r="31" spans="1:5">
      <c r="A31" s="14"/>
      <c r="B31" s="49"/>
      <c r="C31" s="49"/>
      <c r="D31" s="49"/>
      <c r="E31" s="49"/>
    </row>
    <row r="40" spans="2:2">
      <c r="B40" s="1"/>
    </row>
  </sheetData>
  <phoneticPr fontId="2" type="noConversion"/>
  <hyperlinks>
    <hyperlink ref="A1" location="Index!A1" display="Return to Index" xr:uid="{00000000-0004-0000-2000-000000000000}"/>
  </hyperlinks>
  <pageMargins left="0.75" right="0.75" top="1" bottom="1" header="0.5" footer="0.5"/>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32"/>
  <sheetViews>
    <sheetView workbookViewId="0"/>
  </sheetViews>
  <sheetFormatPr defaultRowHeight="12.75"/>
  <cols>
    <col min="1" max="1" width="38.1328125" customWidth="1"/>
  </cols>
  <sheetData>
    <row r="1" spans="1:10">
      <c r="A1" s="1" t="s">
        <v>106</v>
      </c>
    </row>
    <row r="3" spans="1:10" ht="17.649999999999999">
      <c r="A3" s="96" t="s">
        <v>183</v>
      </c>
      <c r="B3" s="84"/>
      <c r="C3" s="84"/>
      <c r="D3" s="84"/>
      <c r="E3" s="84"/>
      <c r="F3" s="84"/>
      <c r="G3" s="84"/>
      <c r="H3" s="84"/>
      <c r="I3" s="84"/>
    </row>
    <row r="5" spans="1:10" ht="13.15">
      <c r="A5" s="85" t="s">
        <v>129</v>
      </c>
      <c r="B5" s="84"/>
      <c r="C5" s="84"/>
      <c r="D5" s="84"/>
      <c r="E5" s="84"/>
      <c r="F5" s="175" t="s">
        <v>213</v>
      </c>
      <c r="G5" s="175"/>
      <c r="H5" s="175"/>
      <c r="I5" s="175"/>
    </row>
    <row r="6" spans="1:10" ht="13.15">
      <c r="A6" s="85" t="s">
        <v>112</v>
      </c>
      <c r="B6" s="84"/>
      <c r="C6" s="84"/>
      <c r="D6" s="84"/>
      <c r="E6" s="84"/>
      <c r="F6" s="175" t="s">
        <v>31</v>
      </c>
      <c r="G6" s="175"/>
      <c r="H6" s="175"/>
      <c r="I6" s="175"/>
    </row>
    <row r="7" spans="1:10">
      <c r="A7" s="92" t="s">
        <v>332</v>
      </c>
      <c r="B7" s="84"/>
      <c r="C7" s="84"/>
      <c r="D7" s="84"/>
      <c r="E7" s="84"/>
      <c r="F7" s="84"/>
      <c r="G7" s="84"/>
      <c r="H7" s="84"/>
      <c r="I7" s="84"/>
      <c r="J7" s="84"/>
    </row>
    <row r="8" spans="1:10" ht="13.15">
      <c r="A8" s="85"/>
      <c r="B8" s="84"/>
      <c r="C8" s="84"/>
      <c r="D8" s="84"/>
      <c r="E8" s="84"/>
      <c r="F8" s="84"/>
      <c r="G8" s="84"/>
      <c r="H8" s="84"/>
      <c r="I8" s="84"/>
      <c r="J8" s="84"/>
    </row>
    <row r="9" spans="1:10" ht="13.15">
      <c r="B9" s="2">
        <v>2000</v>
      </c>
      <c r="C9" s="2">
        <v>2004</v>
      </c>
      <c r="D9" s="2">
        <v>2008</v>
      </c>
      <c r="E9" s="2">
        <v>2013</v>
      </c>
      <c r="F9" s="85">
        <v>2016</v>
      </c>
      <c r="G9" s="85">
        <v>2019</v>
      </c>
      <c r="H9" s="85">
        <v>2022</v>
      </c>
      <c r="I9" s="84"/>
      <c r="J9" s="84"/>
    </row>
    <row r="10" spans="1:10">
      <c r="A10" s="14" t="s">
        <v>333</v>
      </c>
      <c r="B10" s="87">
        <v>90</v>
      </c>
      <c r="C10" s="87">
        <v>77.22</v>
      </c>
      <c r="D10" s="87">
        <v>85.5</v>
      </c>
      <c r="E10" s="87">
        <v>88.999999999999986</v>
      </c>
      <c r="F10" s="84">
        <v>88</v>
      </c>
      <c r="G10" s="84">
        <v>87</v>
      </c>
      <c r="H10" s="84">
        <v>83</v>
      </c>
      <c r="I10" s="84"/>
      <c r="J10" s="84"/>
    </row>
    <row r="11" spans="1:10" ht="13.15">
      <c r="A11" s="85"/>
      <c r="B11" s="84"/>
      <c r="C11" s="84"/>
      <c r="D11" s="84"/>
      <c r="E11" s="84"/>
      <c r="F11" s="84"/>
      <c r="G11" s="84"/>
      <c r="H11" s="84"/>
      <c r="I11" s="84"/>
      <c r="J11" s="84"/>
    </row>
    <row r="12" spans="1:10" ht="13.15">
      <c r="A12" s="85"/>
      <c r="B12" s="84"/>
      <c r="C12" s="84"/>
      <c r="D12" s="84"/>
      <c r="E12" s="84"/>
      <c r="F12" s="84"/>
      <c r="G12" s="84"/>
      <c r="H12" s="84"/>
      <c r="I12" s="84"/>
      <c r="J12" s="84"/>
    </row>
    <row r="13" spans="1:10" ht="13.15">
      <c r="A13" s="85"/>
      <c r="B13" s="84"/>
      <c r="C13" s="84"/>
      <c r="D13" s="84"/>
      <c r="E13" s="84"/>
      <c r="F13" s="84"/>
      <c r="G13" s="84"/>
      <c r="H13" s="84"/>
      <c r="I13" s="84"/>
      <c r="J13" s="84"/>
    </row>
    <row r="14" spans="1:10" ht="13.15">
      <c r="A14" s="85"/>
      <c r="B14" s="84"/>
      <c r="C14" s="84"/>
      <c r="D14" s="84"/>
      <c r="E14" s="84"/>
      <c r="F14" s="84"/>
      <c r="G14" s="84"/>
      <c r="H14" s="84"/>
      <c r="I14" s="84"/>
      <c r="J14" s="84"/>
    </row>
    <row r="15" spans="1:10" ht="13.15">
      <c r="A15" s="85"/>
      <c r="B15" s="84"/>
      <c r="C15" s="84"/>
      <c r="D15" s="84"/>
      <c r="E15" s="84"/>
      <c r="F15" s="84"/>
      <c r="G15" s="84"/>
      <c r="H15" s="84"/>
      <c r="I15" s="84"/>
      <c r="J15" s="84"/>
    </row>
    <row r="16" spans="1:10" ht="13.15">
      <c r="A16" s="85"/>
      <c r="B16" s="84"/>
      <c r="C16" s="84"/>
      <c r="D16" s="84"/>
      <c r="E16" s="84"/>
      <c r="F16" s="84"/>
      <c r="G16" s="84"/>
      <c r="H16" s="84"/>
      <c r="I16" s="84"/>
      <c r="J16" s="84"/>
    </row>
    <row r="17" spans="1:10" ht="13.15">
      <c r="A17" s="85"/>
      <c r="B17" s="84"/>
      <c r="C17" s="84"/>
      <c r="D17" s="84"/>
      <c r="E17" s="84"/>
      <c r="F17" s="84"/>
      <c r="G17" s="84"/>
      <c r="H17" s="84"/>
      <c r="I17" s="84"/>
      <c r="J17" s="84"/>
    </row>
    <row r="18" spans="1:10" ht="13.15">
      <c r="A18" s="85"/>
      <c r="B18" s="84"/>
      <c r="C18" s="84"/>
      <c r="D18" s="84"/>
      <c r="E18" s="84"/>
      <c r="F18" s="84"/>
      <c r="G18" s="84"/>
      <c r="H18" s="84"/>
      <c r="I18" s="84"/>
      <c r="J18" s="84"/>
    </row>
    <row r="19" spans="1:10" ht="13.15">
      <c r="A19" s="85"/>
      <c r="B19" s="84"/>
      <c r="C19" s="84"/>
      <c r="D19" s="84"/>
      <c r="E19" s="84"/>
      <c r="F19" s="84"/>
      <c r="G19" s="84"/>
      <c r="H19" s="84"/>
      <c r="I19" s="84"/>
      <c r="J19" s="84"/>
    </row>
    <row r="20" spans="1:10" ht="13.15">
      <c r="A20" s="85"/>
      <c r="B20" s="84"/>
      <c r="C20" s="84"/>
      <c r="D20" s="84"/>
      <c r="E20" s="84"/>
      <c r="F20" s="84"/>
      <c r="G20" s="84"/>
      <c r="H20" s="84"/>
      <c r="I20" s="84"/>
      <c r="J20" s="84"/>
    </row>
    <row r="21" spans="1:10" ht="13.15">
      <c r="A21" s="85"/>
      <c r="B21" s="84"/>
      <c r="C21" s="84"/>
      <c r="D21" s="84"/>
      <c r="E21" s="84"/>
      <c r="F21" s="84"/>
      <c r="G21" s="84"/>
      <c r="H21" s="84"/>
      <c r="I21" s="84"/>
      <c r="J21" s="84"/>
    </row>
    <row r="22" spans="1:10" ht="13.15">
      <c r="A22" s="85"/>
      <c r="B22" s="84"/>
      <c r="C22" s="84"/>
      <c r="D22" s="84"/>
      <c r="E22" s="84"/>
      <c r="F22" s="84"/>
      <c r="G22" s="84"/>
      <c r="H22" s="84"/>
      <c r="I22" s="84"/>
      <c r="J22" s="84"/>
    </row>
    <row r="23" spans="1:10" ht="13.15">
      <c r="A23" s="85"/>
      <c r="B23" s="84"/>
      <c r="C23" s="84"/>
      <c r="D23" s="84"/>
      <c r="E23" s="84"/>
      <c r="F23" s="84"/>
      <c r="G23" s="84"/>
      <c r="H23" s="84"/>
      <c r="I23" s="84"/>
      <c r="J23" s="84"/>
    </row>
    <row r="24" spans="1:10" ht="13.15">
      <c r="A24" s="85"/>
      <c r="B24" s="84"/>
      <c r="C24" s="84"/>
      <c r="D24" s="84"/>
      <c r="E24" s="84"/>
      <c r="F24" s="84"/>
      <c r="G24" s="84"/>
      <c r="H24" s="84"/>
      <c r="I24" s="84"/>
      <c r="J24" s="84"/>
    </row>
    <row r="25" spans="1:10" ht="13.15">
      <c r="A25" s="85"/>
      <c r="B25" s="84"/>
      <c r="C25" s="84"/>
      <c r="D25" s="84"/>
      <c r="E25" s="84"/>
      <c r="F25" s="84"/>
      <c r="G25" s="84"/>
      <c r="H25" s="84"/>
      <c r="I25" s="84"/>
      <c r="J25" s="84"/>
    </row>
    <row r="26" spans="1:10">
      <c r="F26" s="84"/>
      <c r="G26" s="84"/>
      <c r="H26" s="84"/>
      <c r="I26" s="84"/>
      <c r="J26" s="84"/>
    </row>
    <row r="31" spans="1:10">
      <c r="B31" s="14"/>
    </row>
    <row r="32" spans="1:10">
      <c r="B32" s="1"/>
    </row>
  </sheetData>
  <phoneticPr fontId="2" type="noConversion"/>
  <hyperlinks>
    <hyperlink ref="A1" location="Index!A1" display="Return to Index" xr:uid="{00000000-0004-0000-1900-000000000000}"/>
  </hyperlinks>
  <pageMargins left="0.75" right="0.75" top="1" bottom="1" header="0.5" footer="0.5"/>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C102"/>
  <sheetViews>
    <sheetView workbookViewId="0"/>
  </sheetViews>
  <sheetFormatPr defaultRowHeight="12.75"/>
  <cols>
    <col min="1" max="1" width="60" customWidth="1"/>
    <col min="2" max="7" width="10.53125" customWidth="1"/>
    <col min="8" max="8" width="11.33203125" customWidth="1"/>
  </cols>
  <sheetData>
    <row r="1" spans="1:25">
      <c r="A1" s="1" t="s">
        <v>106</v>
      </c>
    </row>
    <row r="2" spans="1:25">
      <c r="E2" s="175" t="s">
        <v>221</v>
      </c>
      <c r="F2" s="175"/>
      <c r="G2" s="175"/>
    </row>
    <row r="3" spans="1:25" ht="17.649999999999999">
      <c r="A3" s="96" t="s">
        <v>183</v>
      </c>
      <c r="B3" s="84"/>
      <c r="C3" s="84"/>
      <c r="D3" s="84"/>
      <c r="E3" s="175" t="s">
        <v>215</v>
      </c>
      <c r="F3" s="175"/>
      <c r="G3" s="175"/>
      <c r="I3" s="84"/>
      <c r="J3" s="84"/>
    </row>
    <row r="4" spans="1:25" s="85" customFormat="1" ht="13.15"/>
    <row r="5" spans="1:25" s="85" customFormat="1" ht="13.15">
      <c r="A5" s="85" t="s">
        <v>80</v>
      </c>
    </row>
    <row r="6" spans="1:25" s="85" customFormat="1" ht="13.15">
      <c r="A6" s="85" t="s">
        <v>482</v>
      </c>
    </row>
    <row r="7" spans="1:25" s="85" customFormat="1" ht="13.15">
      <c r="A7" s="2"/>
      <c r="B7" s="12">
        <v>2007</v>
      </c>
      <c r="C7" s="12">
        <v>2008</v>
      </c>
      <c r="D7" s="12">
        <v>2009</v>
      </c>
      <c r="E7" s="12">
        <v>2010</v>
      </c>
      <c r="F7" s="12">
        <v>2011</v>
      </c>
      <c r="G7" s="12">
        <v>2012</v>
      </c>
      <c r="H7" s="12">
        <v>2013</v>
      </c>
      <c r="I7" s="12">
        <v>2014</v>
      </c>
      <c r="J7" s="12">
        <v>2015</v>
      </c>
      <c r="K7" s="12">
        <v>2016</v>
      </c>
      <c r="L7" s="12">
        <v>2017</v>
      </c>
      <c r="M7" s="12">
        <v>2018</v>
      </c>
      <c r="N7" s="12">
        <v>2019</v>
      </c>
      <c r="O7" s="12">
        <v>2020</v>
      </c>
      <c r="P7" s="12">
        <v>2021</v>
      </c>
      <c r="Q7" s="12">
        <v>2022</v>
      </c>
    </row>
    <row r="8" spans="1:25" s="85" customFormat="1" ht="13.15">
      <c r="A8" s="194" t="s">
        <v>508</v>
      </c>
      <c r="B8" s="59">
        <v>15.055</v>
      </c>
      <c r="C8" s="59">
        <v>16.707000000000001</v>
      </c>
      <c r="D8" s="59">
        <v>15.42</v>
      </c>
      <c r="E8" s="59">
        <v>14.483000000000001</v>
      </c>
      <c r="F8" s="59">
        <v>14.622</v>
      </c>
      <c r="G8" s="59">
        <v>15.836</v>
      </c>
      <c r="H8" s="59">
        <v>14.875999999999999</v>
      </c>
      <c r="I8" s="59">
        <v>14.73</v>
      </c>
      <c r="J8" s="59">
        <v>14.496</v>
      </c>
      <c r="K8" s="59">
        <v>14.172000000000001</v>
      </c>
      <c r="L8" s="59">
        <v>14.324999999999999</v>
      </c>
      <c r="M8" s="59">
        <v>14.628</v>
      </c>
      <c r="N8" s="59">
        <v>15.613</v>
      </c>
      <c r="O8" s="59">
        <v>15.446999999999999</v>
      </c>
      <c r="P8" s="59">
        <v>15.65</v>
      </c>
      <c r="Q8" s="59">
        <v>13.58</v>
      </c>
      <c r="R8" s="59"/>
      <c r="S8" s="59"/>
      <c r="T8" s="59"/>
      <c r="U8" s="59"/>
      <c r="V8" s="59"/>
      <c r="W8" s="59"/>
      <c r="X8" s="59"/>
      <c r="Y8" s="59"/>
    </row>
    <row r="9" spans="1:25" s="85" customFormat="1" ht="13.15">
      <c r="B9" s="202"/>
      <c r="C9" s="202"/>
      <c r="D9" s="202"/>
      <c r="E9" s="202"/>
      <c r="F9" s="202"/>
      <c r="G9" s="202"/>
      <c r="H9" s="202"/>
      <c r="I9" s="202"/>
      <c r="J9" s="202"/>
      <c r="K9" s="202"/>
      <c r="L9" s="202"/>
      <c r="M9" s="202"/>
      <c r="N9" s="202"/>
    </row>
    <row r="10" spans="1:25" s="85" customFormat="1" ht="13.15">
      <c r="Q10" s="9"/>
    </row>
    <row r="11" spans="1:25" s="85" customFormat="1" ht="13.15">
      <c r="Q11" s="9"/>
    </row>
    <row r="12" spans="1:25" s="85" customFormat="1" ht="13.15">
      <c r="Q12" s="9"/>
    </row>
    <row r="13" spans="1:25" s="85" customFormat="1" ht="13.15">
      <c r="Q13" s="9"/>
    </row>
    <row r="14" spans="1:25" s="85" customFormat="1" ht="13.15">
      <c r="Q14" s="9"/>
    </row>
    <row r="15" spans="1:25" s="85" customFormat="1" ht="13.15">
      <c r="Q15" s="9"/>
    </row>
    <row r="16" spans="1:25" s="85" customFormat="1" ht="13.15">
      <c r="Q16" s="9"/>
    </row>
    <row r="17" spans="17:17" s="85" customFormat="1" ht="13.15">
      <c r="Q17" s="9"/>
    </row>
    <row r="18" spans="17:17" s="85" customFormat="1" ht="13.15">
      <c r="Q18" s="9"/>
    </row>
    <row r="19" spans="17:17" s="85" customFormat="1" ht="13.15">
      <c r="Q19" s="9"/>
    </row>
    <row r="20" spans="17:17" s="85" customFormat="1" ht="13.15">
      <c r="Q20" s="9"/>
    </row>
    <row r="21" spans="17:17" s="85" customFormat="1" ht="13.15">
      <c r="Q21" s="9"/>
    </row>
    <row r="22" spans="17:17" s="85" customFormat="1" ht="13.15">
      <c r="Q22" s="9"/>
    </row>
    <row r="23" spans="17:17" s="85" customFormat="1" ht="13.15"/>
    <row r="24" spans="17:17" s="85" customFormat="1" ht="13.15"/>
    <row r="25" spans="17:17" s="85" customFormat="1" ht="13.15"/>
    <row r="26" spans="17:17" s="85" customFormat="1" ht="13.15"/>
    <row r="27" spans="17:17" s="85" customFormat="1" ht="13.15"/>
    <row r="28" spans="17:17" s="85" customFormat="1" ht="13.15"/>
    <row r="29" spans="17:17" s="85" customFormat="1" ht="13.15"/>
    <row r="30" spans="17:17" s="85" customFormat="1" ht="13.15"/>
    <row r="31" spans="17:17" s="85" customFormat="1" ht="13.15"/>
    <row r="32" spans="17:17" s="85" customFormat="1" ht="13.15"/>
    <row r="33" spans="1:29" s="85" customFormat="1" ht="13.15"/>
    <row r="34" spans="1:29" s="85" customFormat="1" ht="13.15"/>
    <row r="35" spans="1:29" s="85" customFormat="1" ht="13.15"/>
    <row r="36" spans="1:29" s="85" customFormat="1" ht="13.15"/>
    <row r="37" spans="1:29" s="85" customFormat="1" ht="13.15"/>
    <row r="38" spans="1:29" ht="13.15">
      <c r="A38" s="85"/>
      <c r="B38" s="84"/>
      <c r="C38" s="84"/>
      <c r="D38" s="84"/>
    </row>
    <row r="39" spans="1:29" ht="13.15">
      <c r="A39" s="85"/>
      <c r="B39" s="84"/>
      <c r="C39" s="84"/>
      <c r="D39" s="84"/>
    </row>
    <row r="40" spans="1:29" ht="13.15">
      <c r="A40" s="2"/>
      <c r="B40" s="84"/>
      <c r="C40" s="84"/>
      <c r="D40" s="84"/>
      <c r="E40" s="84"/>
      <c r="F40" s="84"/>
      <c r="G40" s="84"/>
    </row>
    <row r="41" spans="1:29" ht="13.15">
      <c r="A41" s="2"/>
      <c r="B41" s="84"/>
      <c r="C41" s="84"/>
      <c r="D41" s="84"/>
      <c r="E41" s="84"/>
      <c r="F41" s="84"/>
      <c r="G41" s="84"/>
    </row>
    <row r="42" spans="1:29" ht="13.15">
      <c r="A42" s="2"/>
      <c r="B42" s="12"/>
      <c r="C42" s="12"/>
      <c r="D42" s="12"/>
      <c r="E42" s="12"/>
      <c r="F42" s="2"/>
      <c r="G42" s="2"/>
      <c r="H42" s="2"/>
      <c r="I42" s="2"/>
      <c r="J42" s="2"/>
      <c r="K42" s="2"/>
      <c r="L42" s="2"/>
      <c r="M42" s="2"/>
      <c r="N42" s="2"/>
      <c r="O42" s="2"/>
      <c r="P42" s="2"/>
      <c r="Q42" s="2"/>
      <c r="R42" s="2"/>
      <c r="S42" s="2"/>
      <c r="T42" s="2"/>
      <c r="U42" s="2"/>
      <c r="V42" s="2"/>
      <c r="W42" s="2"/>
      <c r="X42" s="2"/>
      <c r="Y42" s="2"/>
      <c r="Z42" s="2"/>
      <c r="AA42" s="2"/>
      <c r="AB42" s="2"/>
      <c r="AC42" s="2"/>
    </row>
    <row r="43" spans="1:29">
      <c r="A43" s="26"/>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row>
    <row r="44" spans="1:29" ht="13.15">
      <c r="A44" s="85"/>
      <c r="B44" s="84"/>
      <c r="C44" s="84"/>
      <c r="D44" s="84"/>
      <c r="E44" s="84"/>
      <c r="F44" s="84"/>
      <c r="G44" s="84"/>
    </row>
    <row r="45" spans="1:29" ht="13.15">
      <c r="A45" s="85"/>
      <c r="B45" s="84"/>
      <c r="C45" s="84"/>
      <c r="D45" s="84"/>
      <c r="E45" s="84"/>
      <c r="F45" s="84"/>
      <c r="G45" s="84"/>
    </row>
    <row r="46" spans="1:29" ht="13.15">
      <c r="A46" s="85"/>
      <c r="B46" s="84"/>
      <c r="C46" s="84"/>
      <c r="D46" s="84"/>
      <c r="E46" s="84"/>
      <c r="F46" s="84"/>
      <c r="G46" s="84"/>
    </row>
    <row r="47" spans="1:29" ht="13.15">
      <c r="A47" s="85"/>
      <c r="B47" s="84"/>
      <c r="C47" s="84"/>
      <c r="D47" s="84"/>
      <c r="E47" s="84"/>
      <c r="F47" s="84"/>
      <c r="G47" s="84"/>
    </row>
    <row r="48" spans="1:29" ht="13.15">
      <c r="A48" s="85"/>
      <c r="B48" s="84"/>
      <c r="C48" s="84"/>
      <c r="D48" s="84"/>
      <c r="E48" s="84"/>
      <c r="F48" s="84"/>
      <c r="G48" s="84"/>
    </row>
    <row r="49" spans="1:7" ht="13.15">
      <c r="A49" s="85"/>
      <c r="B49" s="84"/>
      <c r="C49" s="84"/>
      <c r="D49" s="84"/>
      <c r="E49" s="84"/>
      <c r="F49" s="84"/>
      <c r="G49" s="84"/>
    </row>
    <row r="50" spans="1:7" ht="13.15">
      <c r="A50" s="85"/>
      <c r="B50" s="84"/>
      <c r="C50" s="84"/>
      <c r="D50" s="84"/>
      <c r="E50" s="84"/>
      <c r="F50" s="84"/>
      <c r="G50" s="84"/>
    </row>
    <row r="51" spans="1:7" ht="13.15">
      <c r="A51" s="85"/>
      <c r="B51" s="84"/>
      <c r="C51" s="84"/>
      <c r="D51" s="84"/>
      <c r="E51" s="84"/>
      <c r="F51" s="84"/>
      <c r="G51" s="84"/>
    </row>
    <row r="52" spans="1:7" ht="13.15">
      <c r="A52" s="85"/>
      <c r="B52" s="84"/>
      <c r="C52" s="84"/>
      <c r="D52" s="84"/>
      <c r="E52" s="84"/>
      <c r="F52" s="84"/>
      <c r="G52" s="84"/>
    </row>
    <row r="53" spans="1:7" ht="13.15">
      <c r="A53" s="85"/>
      <c r="B53" s="84"/>
      <c r="C53" s="84"/>
      <c r="D53" s="84"/>
      <c r="E53" s="84"/>
      <c r="F53" s="84"/>
      <c r="G53" s="84"/>
    </row>
    <row r="54" spans="1:7" ht="13.15">
      <c r="A54" s="85"/>
      <c r="B54" s="84"/>
      <c r="C54" s="84"/>
      <c r="D54" s="84"/>
      <c r="E54" s="84"/>
      <c r="F54" s="84"/>
      <c r="G54" s="84"/>
    </row>
    <row r="55" spans="1:7" ht="13.15">
      <c r="A55" s="85"/>
      <c r="B55" s="84"/>
      <c r="C55" s="84"/>
      <c r="D55" s="84"/>
      <c r="E55" s="84"/>
      <c r="F55" s="84"/>
      <c r="G55" s="84"/>
    </row>
    <row r="56" spans="1:7" ht="13.15">
      <c r="A56" s="85"/>
      <c r="B56" s="84"/>
      <c r="C56" s="84"/>
      <c r="D56" s="84"/>
      <c r="E56" s="84"/>
      <c r="F56" s="84"/>
      <c r="G56" s="84"/>
    </row>
    <row r="57" spans="1:7" ht="13.15">
      <c r="A57" s="85"/>
      <c r="B57" s="84"/>
      <c r="C57" s="84"/>
      <c r="D57" s="84"/>
      <c r="E57" s="84"/>
      <c r="F57" s="84"/>
      <c r="G57" s="84"/>
    </row>
    <row r="58" spans="1:7" ht="13.15">
      <c r="A58" s="85"/>
      <c r="B58" s="84"/>
      <c r="C58" s="84"/>
      <c r="D58" s="84"/>
      <c r="E58" s="84"/>
      <c r="F58" s="84"/>
      <c r="G58" s="84"/>
    </row>
    <row r="59" spans="1:7" ht="13.15">
      <c r="A59" s="85"/>
      <c r="B59" s="84"/>
      <c r="C59" s="84"/>
      <c r="D59" s="84"/>
      <c r="E59" s="84"/>
      <c r="F59" s="84"/>
      <c r="G59" s="84"/>
    </row>
    <row r="60" spans="1:7" ht="13.15">
      <c r="A60" s="85"/>
      <c r="B60" s="84"/>
      <c r="C60" s="84"/>
      <c r="D60" s="84"/>
      <c r="E60" s="84"/>
      <c r="F60" s="84"/>
      <c r="G60" s="84"/>
    </row>
    <row r="61" spans="1:7" ht="13.15">
      <c r="A61" s="85"/>
      <c r="B61" s="84"/>
      <c r="C61" s="84"/>
      <c r="D61" s="84"/>
      <c r="E61" s="84"/>
      <c r="F61" s="84"/>
      <c r="G61" s="84"/>
    </row>
    <row r="62" spans="1:7" ht="13.15">
      <c r="A62" s="85"/>
      <c r="B62" s="84"/>
      <c r="C62" s="84"/>
      <c r="D62" s="84"/>
      <c r="E62" s="84"/>
      <c r="F62" s="84"/>
      <c r="G62" s="84"/>
    </row>
    <row r="63" spans="1:7" ht="13.15">
      <c r="A63" s="85"/>
      <c r="B63" s="84"/>
      <c r="C63" s="84"/>
      <c r="D63" s="84"/>
      <c r="E63" s="84"/>
      <c r="F63" s="84"/>
      <c r="G63" s="84"/>
    </row>
    <row r="64" spans="1:7" ht="13.15">
      <c r="A64" s="85"/>
      <c r="B64" s="84"/>
      <c r="C64" s="84"/>
      <c r="D64" s="84"/>
      <c r="E64" s="84"/>
      <c r="F64" s="84"/>
      <c r="G64" s="84"/>
    </row>
    <row r="65" spans="1:7" ht="13.15">
      <c r="A65" s="85"/>
      <c r="B65" s="84"/>
      <c r="C65" s="84"/>
      <c r="D65" s="84"/>
      <c r="E65" s="84"/>
      <c r="F65" s="84"/>
      <c r="G65" s="84"/>
    </row>
    <row r="66" spans="1:7" ht="13.15">
      <c r="A66" s="85"/>
      <c r="B66" s="84"/>
      <c r="C66" s="84"/>
      <c r="D66" s="84"/>
      <c r="E66" s="84"/>
      <c r="F66" s="84"/>
      <c r="G66" s="84"/>
    </row>
    <row r="67" spans="1:7" ht="13.15">
      <c r="A67" s="85"/>
      <c r="B67" s="84"/>
      <c r="C67" s="84"/>
      <c r="D67" s="84"/>
      <c r="E67" s="84"/>
      <c r="F67" s="84"/>
      <c r="G67" s="84"/>
    </row>
    <row r="68" spans="1:7" ht="13.15">
      <c r="A68" s="85"/>
      <c r="B68" s="84"/>
      <c r="C68" s="84"/>
      <c r="D68" s="84"/>
      <c r="E68" s="84"/>
      <c r="F68" s="84"/>
      <c r="G68" s="84"/>
    </row>
    <row r="70" spans="1:7">
      <c r="B70" s="21"/>
    </row>
    <row r="76" spans="1:7">
      <c r="D76" s="9"/>
    </row>
    <row r="77" spans="1:7">
      <c r="D77" s="9"/>
    </row>
    <row r="78" spans="1:7">
      <c r="D78" s="9"/>
    </row>
    <row r="79" spans="1:7">
      <c r="D79" s="9"/>
    </row>
    <row r="80" spans="1:7">
      <c r="D80" s="9"/>
    </row>
    <row r="81" spans="4:4">
      <c r="D81" s="9"/>
    </row>
    <row r="82" spans="4:4">
      <c r="D82" s="9"/>
    </row>
    <row r="83" spans="4:4">
      <c r="D83" s="9"/>
    </row>
    <row r="84" spans="4:4">
      <c r="D84" s="9"/>
    </row>
    <row r="85" spans="4:4">
      <c r="D85" s="9"/>
    </row>
    <row r="86" spans="4:4">
      <c r="D86" s="9"/>
    </row>
    <row r="87" spans="4:4">
      <c r="D87" s="9"/>
    </row>
    <row r="88" spans="4:4">
      <c r="D88" s="9"/>
    </row>
    <row r="89" spans="4:4">
      <c r="D89" s="9"/>
    </row>
    <row r="90" spans="4:4">
      <c r="D90" s="9"/>
    </row>
    <row r="91" spans="4:4">
      <c r="D91" s="9"/>
    </row>
    <row r="92" spans="4:4">
      <c r="D92" s="9"/>
    </row>
    <row r="93" spans="4:4">
      <c r="D93" s="9"/>
    </row>
    <row r="94" spans="4:4">
      <c r="D94" s="9"/>
    </row>
    <row r="95" spans="4:4">
      <c r="D95" s="9"/>
    </row>
    <row r="96" spans="4:4">
      <c r="D96" s="9"/>
    </row>
    <row r="97" spans="4:4">
      <c r="D97" s="9"/>
    </row>
    <row r="98" spans="4:4">
      <c r="D98" s="9"/>
    </row>
    <row r="99" spans="4:4">
      <c r="D99" s="9"/>
    </row>
    <row r="100" spans="4:4">
      <c r="D100" s="9"/>
    </row>
    <row r="101" spans="4:4">
      <c r="D101" s="9"/>
    </row>
    <row r="102" spans="4:4">
      <c r="D102" s="9"/>
    </row>
  </sheetData>
  <phoneticPr fontId="2" type="noConversion"/>
  <hyperlinks>
    <hyperlink ref="A1" location="Index!A1" display="Return to Index" xr:uid="{00000000-0004-0000-1E00-000000000000}"/>
  </hyperlinks>
  <pageMargins left="0.75" right="0.75" top="1" bottom="1" header="0.5" footer="0.5"/>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56"/>
  <sheetViews>
    <sheetView workbookViewId="0"/>
  </sheetViews>
  <sheetFormatPr defaultRowHeight="12.75"/>
  <cols>
    <col min="1" max="1" width="32.86328125" customWidth="1"/>
    <col min="2" max="2" width="10.1328125" bestFit="1" customWidth="1"/>
    <col min="3" max="4" width="9.86328125" customWidth="1"/>
  </cols>
  <sheetData>
    <row r="1" spans="1:8">
      <c r="A1" s="1" t="s">
        <v>106</v>
      </c>
    </row>
    <row r="3" spans="1:8" ht="17.649999999999999">
      <c r="A3" s="96" t="s">
        <v>183</v>
      </c>
      <c r="B3" s="84"/>
      <c r="C3" s="84"/>
    </row>
    <row r="5" spans="1:8" ht="13.15">
      <c r="A5" s="85" t="s">
        <v>278</v>
      </c>
      <c r="B5" s="84"/>
      <c r="C5" s="84"/>
      <c r="D5" s="84"/>
      <c r="E5" s="175" t="s">
        <v>279</v>
      </c>
      <c r="F5" s="175"/>
      <c r="G5" s="175"/>
      <c r="H5" s="175"/>
    </row>
    <row r="6" spans="1:8" ht="13.15">
      <c r="A6" s="85" t="s">
        <v>100</v>
      </c>
      <c r="B6" s="84"/>
      <c r="C6" s="84"/>
      <c r="D6" s="84"/>
      <c r="E6" s="175" t="s">
        <v>215</v>
      </c>
      <c r="F6" s="175"/>
      <c r="G6" s="175"/>
      <c r="H6" s="175"/>
    </row>
    <row r="8" spans="1:8" ht="13.15">
      <c r="B8" s="2">
        <v>1840</v>
      </c>
      <c r="C8" s="2">
        <v>1996</v>
      </c>
      <c r="D8" s="2">
        <v>2012</v>
      </c>
      <c r="E8" s="2">
        <v>2018</v>
      </c>
      <c r="F8" s="84"/>
      <c r="G8" s="84"/>
    </row>
    <row r="9" spans="1:8">
      <c r="A9" t="s">
        <v>280</v>
      </c>
      <c r="B9" s="61">
        <v>53.051209511281648</v>
      </c>
      <c r="C9" s="61">
        <v>19.011062606933461</v>
      </c>
      <c r="D9" s="61">
        <v>18.992746065260732</v>
      </c>
      <c r="E9" s="61">
        <v>18.98904567203277</v>
      </c>
      <c r="F9" s="84"/>
      <c r="G9" s="84"/>
    </row>
    <row r="10" spans="1:8">
      <c r="A10" t="s">
        <v>281</v>
      </c>
      <c r="B10" s="61">
        <v>21.140522881551558</v>
      </c>
      <c r="C10" s="61">
        <v>7.6625044606573249</v>
      </c>
      <c r="D10" s="61">
        <v>7.6239767134487364</v>
      </c>
      <c r="E10" s="61">
        <v>7.6109257090205942</v>
      </c>
    </row>
    <row r="11" spans="1:8">
      <c r="A11" t="s">
        <v>282</v>
      </c>
      <c r="B11" s="61">
        <v>19.407167991719469</v>
      </c>
      <c r="C11" s="61">
        <v>0.4743412194091014</v>
      </c>
      <c r="D11" s="61">
        <v>0.47436132990325502</v>
      </c>
      <c r="E11" s="61">
        <v>0.47626061561712557</v>
      </c>
    </row>
    <row r="12" spans="1:8">
      <c r="A12" t="s">
        <v>105</v>
      </c>
      <c r="B12" s="61">
        <v>93.598900384552678</v>
      </c>
      <c r="C12" s="61">
        <v>27.147908286999886</v>
      </c>
      <c r="D12" s="61">
        <v>27.091084108612726</v>
      </c>
      <c r="E12" s="61">
        <v>27.07623199667049</v>
      </c>
    </row>
    <row r="44" spans="1:4" ht="13.15">
      <c r="A44" s="2" t="s">
        <v>389</v>
      </c>
    </row>
    <row r="45" spans="1:4" ht="13.15">
      <c r="A45" s="2"/>
    </row>
    <row r="46" spans="1:4" ht="13.15">
      <c r="A46" s="2" t="s">
        <v>390</v>
      </c>
      <c r="B46" s="2">
        <v>2012</v>
      </c>
      <c r="C46" s="2">
        <v>2018</v>
      </c>
      <c r="D46" s="2" t="s">
        <v>401</v>
      </c>
    </row>
    <row r="47" spans="1:4" ht="14.25">
      <c r="A47" s="127" t="s">
        <v>391</v>
      </c>
      <c r="B47" s="9">
        <v>2320.6623319999999</v>
      </c>
      <c r="C47" s="9">
        <v>2320.6623319999999</v>
      </c>
      <c r="D47" s="9">
        <f>+B47-C47</f>
        <v>0</v>
      </c>
    </row>
    <row r="48" spans="1:4" ht="14.25">
      <c r="A48" s="127" t="s">
        <v>392</v>
      </c>
      <c r="B48" s="9">
        <v>71111.455979999999</v>
      </c>
      <c r="C48" s="9">
        <v>71269.092869999993</v>
      </c>
      <c r="D48" s="9">
        <f t="shared" ref="D48:D56" si="0">+B48-C48</f>
        <v>-157.63688999999431</v>
      </c>
    </row>
    <row r="49" spans="1:4" ht="14.25">
      <c r="A49" s="127" t="s">
        <v>393</v>
      </c>
      <c r="B49" s="9">
        <v>296.62768749999998</v>
      </c>
      <c r="C49" s="9">
        <v>297.59817909999998</v>
      </c>
      <c r="D49" s="9">
        <f t="shared" si="0"/>
        <v>-0.97049160000000256</v>
      </c>
    </row>
    <row r="50" spans="1:4" ht="14.25">
      <c r="A50" s="127" t="s">
        <v>394</v>
      </c>
      <c r="B50" s="9">
        <v>358.70822820000001</v>
      </c>
      <c r="C50" s="9">
        <v>358.70822820000001</v>
      </c>
      <c r="D50" s="9">
        <f t="shared" si="0"/>
        <v>0</v>
      </c>
    </row>
    <row r="51" spans="1:4" ht="14.25">
      <c r="A51" s="127" t="s">
        <v>395</v>
      </c>
      <c r="B51" s="9">
        <v>455177.68329999998</v>
      </c>
      <c r="C51" s="9">
        <v>455088.92219999997</v>
      </c>
      <c r="D51" s="9">
        <f t="shared" si="0"/>
        <v>88.761100000003353</v>
      </c>
    </row>
    <row r="52" spans="1:4" ht="14.25">
      <c r="A52" s="127" t="s">
        <v>396</v>
      </c>
      <c r="B52" s="9">
        <v>101091.351</v>
      </c>
      <c r="C52" s="9">
        <v>100619.965</v>
      </c>
      <c r="D52" s="9">
        <f t="shared" si="0"/>
        <v>471.3859999999986</v>
      </c>
    </row>
    <row r="53" spans="1:4" ht="14.25">
      <c r="A53" s="127" t="s">
        <v>397</v>
      </c>
      <c r="B53" s="9">
        <v>58.80550246</v>
      </c>
      <c r="C53" s="9">
        <v>58.80550246</v>
      </c>
      <c r="D53" s="9">
        <f t="shared" si="0"/>
        <v>0</v>
      </c>
    </row>
    <row r="54" spans="1:4" ht="14.25">
      <c r="A54" s="127" t="s">
        <v>398</v>
      </c>
      <c r="B54" s="9">
        <v>10157.001550000001</v>
      </c>
      <c r="C54" s="9">
        <v>10157.001550000001</v>
      </c>
      <c r="D54" s="9">
        <f t="shared" si="0"/>
        <v>0</v>
      </c>
    </row>
    <row r="55" spans="1:4" ht="14.25">
      <c r="A55" s="127" t="s">
        <v>399</v>
      </c>
      <c r="B55" s="9">
        <v>7911.6442829999996</v>
      </c>
      <c r="C55" s="9">
        <v>7957.0315179999998</v>
      </c>
      <c r="D55" s="9">
        <f t="shared" si="0"/>
        <v>-45.387235000000146</v>
      </c>
    </row>
    <row r="56" spans="1:4" ht="14.25">
      <c r="A56" s="128" t="s">
        <v>400</v>
      </c>
      <c r="B56" s="129">
        <v>648483.93986316014</v>
      </c>
      <c r="C56" s="129">
        <v>648127.78737975995</v>
      </c>
      <c r="D56" s="9">
        <f t="shared" si="0"/>
        <v>356.15248340019025</v>
      </c>
    </row>
  </sheetData>
  <phoneticPr fontId="2" type="noConversion"/>
  <hyperlinks>
    <hyperlink ref="A1" location="Index!A1" display="Return to Index" xr:uid="{00000000-0004-0000-1F00-000000000000}"/>
  </hyperlinks>
  <pageMargins left="0.75" right="0.75" top="1" bottom="1" header="0.5" footer="0.5"/>
  <headerFooter alignWithMargins="0"/>
  <drawing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33"/>
  <sheetViews>
    <sheetView workbookViewId="0"/>
  </sheetViews>
  <sheetFormatPr defaultRowHeight="12.75"/>
  <cols>
    <col min="1" max="1" width="31.86328125" customWidth="1"/>
    <col min="2" max="8" width="13" customWidth="1"/>
  </cols>
  <sheetData>
    <row r="1" spans="1:6">
      <c r="A1" s="1" t="s">
        <v>106</v>
      </c>
    </row>
    <row r="3" spans="1:6" ht="17.649999999999999">
      <c r="A3" s="96" t="s">
        <v>183</v>
      </c>
      <c r="B3" s="84"/>
      <c r="C3" s="84"/>
      <c r="D3" s="84"/>
      <c r="E3" s="84"/>
      <c r="F3" s="84"/>
    </row>
    <row r="5" spans="1:6" ht="13.15">
      <c r="A5" s="85" t="s">
        <v>72</v>
      </c>
      <c r="B5" s="86"/>
      <c r="C5" s="86"/>
      <c r="D5" s="175" t="s">
        <v>223</v>
      </c>
      <c r="E5" s="175"/>
    </row>
    <row r="6" spans="1:6" ht="13.15">
      <c r="A6" s="85" t="s">
        <v>42</v>
      </c>
      <c r="B6" s="86"/>
      <c r="C6" s="86"/>
      <c r="D6" s="175" t="s">
        <v>215</v>
      </c>
      <c r="E6" s="175"/>
    </row>
    <row r="8" spans="1:6" ht="13.15">
      <c r="B8" s="2">
        <v>2008</v>
      </c>
      <c r="C8" s="2">
        <v>2010</v>
      </c>
      <c r="D8" s="2">
        <v>2012</v>
      </c>
    </row>
    <row r="9" spans="1:6">
      <c r="A9" s="80" t="s">
        <v>224</v>
      </c>
      <c r="B9" s="13">
        <v>66.2</v>
      </c>
      <c r="C9" s="13">
        <v>71.5</v>
      </c>
      <c r="D9" s="13">
        <v>70.3</v>
      </c>
    </row>
    <row r="10" spans="1:6">
      <c r="A10" s="80"/>
      <c r="B10" s="13"/>
      <c r="C10" s="13"/>
      <c r="D10" s="13"/>
    </row>
    <row r="11" spans="1:6">
      <c r="A11" s="80"/>
      <c r="B11" s="13"/>
      <c r="C11" s="13"/>
      <c r="D11" s="13"/>
    </row>
    <row r="12" spans="1:6">
      <c r="A12" s="80"/>
      <c r="B12" s="13"/>
      <c r="C12" s="13"/>
      <c r="D12" s="13"/>
    </row>
    <row r="13" spans="1:6">
      <c r="A13" s="80"/>
      <c r="B13" s="13"/>
      <c r="C13" s="13"/>
      <c r="D13" s="13"/>
    </row>
    <row r="14" spans="1:6">
      <c r="A14" s="80"/>
      <c r="B14" s="13"/>
      <c r="C14" s="13"/>
      <c r="D14" s="13"/>
    </row>
    <row r="15" spans="1:6">
      <c r="A15" s="80"/>
      <c r="B15" s="13"/>
      <c r="C15" s="13"/>
      <c r="D15" s="13"/>
    </row>
    <row r="16" spans="1:6">
      <c r="A16" s="80"/>
      <c r="B16" s="13"/>
      <c r="C16" s="13"/>
      <c r="D16" s="13"/>
    </row>
    <row r="17" spans="1:4">
      <c r="A17" s="80"/>
      <c r="B17" s="13"/>
      <c r="C17" s="13"/>
      <c r="D17" s="13"/>
    </row>
    <row r="18" spans="1:4">
      <c r="A18" s="80"/>
      <c r="B18" s="13"/>
      <c r="C18" s="13"/>
      <c r="D18" s="13"/>
    </row>
    <row r="19" spans="1:4">
      <c r="A19" s="80"/>
      <c r="B19" s="13"/>
      <c r="C19" s="13"/>
      <c r="D19" s="13"/>
    </row>
    <row r="20" spans="1:4">
      <c r="A20" s="80"/>
      <c r="B20" s="13"/>
      <c r="C20" s="13"/>
      <c r="D20" s="13"/>
    </row>
    <row r="21" spans="1:4">
      <c r="A21" s="80"/>
      <c r="B21" s="13"/>
      <c r="C21" s="13"/>
      <c r="D21" s="13"/>
    </row>
    <row r="22" spans="1:4">
      <c r="A22" s="80"/>
      <c r="B22" s="13"/>
      <c r="C22" s="13"/>
      <c r="D22" s="13"/>
    </row>
    <row r="23" spans="1:4">
      <c r="A23" s="80"/>
      <c r="B23" s="13"/>
      <c r="C23" s="13"/>
      <c r="D23" s="13"/>
    </row>
    <row r="24" spans="1:4">
      <c r="A24" s="80"/>
      <c r="B24" s="13"/>
      <c r="C24" s="13"/>
      <c r="D24" s="13"/>
    </row>
    <row r="25" spans="1:4">
      <c r="A25" s="80"/>
      <c r="B25" s="13"/>
      <c r="C25" s="13"/>
      <c r="D25" s="13"/>
    </row>
    <row r="26" spans="1:4">
      <c r="A26" s="80"/>
      <c r="B26" s="13"/>
      <c r="C26" s="13"/>
      <c r="D26" s="13"/>
    </row>
    <row r="27" spans="1:4">
      <c r="A27" s="80"/>
      <c r="B27" s="13"/>
      <c r="C27" s="13"/>
      <c r="D27" s="13"/>
    </row>
    <row r="28" spans="1:4">
      <c r="A28" s="80"/>
      <c r="B28" s="13"/>
      <c r="C28" s="13"/>
      <c r="D28" s="13"/>
    </row>
    <row r="29" spans="1:4">
      <c r="A29" s="80"/>
      <c r="B29" s="13"/>
      <c r="C29" s="13"/>
      <c r="D29" s="13"/>
    </row>
    <row r="30" spans="1:4">
      <c r="B30" s="6"/>
    </row>
    <row r="31" spans="1:4">
      <c r="B31" s="6"/>
    </row>
    <row r="33" spans="2:2">
      <c r="B33" s="1"/>
    </row>
  </sheetData>
  <phoneticPr fontId="2" type="noConversion"/>
  <hyperlinks>
    <hyperlink ref="A1" location="Index!A1" display="Return to Index" xr:uid="{00000000-0004-0000-2200-000000000000}"/>
  </hyperlinks>
  <pageMargins left="0.75" right="0.75" top="1" bottom="1" header="0.5" footer="0.5"/>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24"/>
  <sheetViews>
    <sheetView workbookViewId="0"/>
  </sheetViews>
  <sheetFormatPr defaultRowHeight="12.75"/>
  <cols>
    <col min="1" max="1" width="24.86328125" customWidth="1"/>
    <col min="2" max="2" width="12" customWidth="1"/>
    <col min="3" max="3" width="12.53125" customWidth="1"/>
    <col min="4" max="4" width="12.86328125" customWidth="1"/>
    <col min="5" max="5" width="11.86328125" customWidth="1"/>
  </cols>
  <sheetData>
    <row r="1" spans="1:10">
      <c r="A1" s="1" t="s">
        <v>106</v>
      </c>
    </row>
    <row r="3" spans="1:10" ht="17.649999999999999">
      <c r="A3" s="96" t="s">
        <v>183</v>
      </c>
      <c r="B3" s="84"/>
      <c r="C3" s="84"/>
      <c r="D3" s="84"/>
      <c r="E3" s="84"/>
      <c r="F3" s="84"/>
    </row>
    <row r="5" spans="1:10" ht="13.15">
      <c r="A5" s="85" t="s">
        <v>491</v>
      </c>
      <c r="B5" s="84"/>
      <c r="C5" s="175" t="s">
        <v>218</v>
      </c>
      <c r="D5" s="175"/>
      <c r="E5" s="84"/>
    </row>
    <row r="6" spans="1:10" ht="13.15">
      <c r="A6" s="85" t="s">
        <v>100</v>
      </c>
      <c r="B6" s="84"/>
      <c r="C6" s="175" t="s">
        <v>215</v>
      </c>
      <c r="D6" s="175"/>
      <c r="E6" s="84"/>
    </row>
    <row r="8" spans="1:10" ht="13.15">
      <c r="B8" s="12">
        <v>2002</v>
      </c>
      <c r="C8" s="12">
        <v>2008</v>
      </c>
      <c r="D8" s="12">
        <v>2012</v>
      </c>
      <c r="E8" s="12">
        <v>2019</v>
      </c>
      <c r="F8" s="12" t="s">
        <v>542</v>
      </c>
    </row>
    <row r="9" spans="1:10" ht="13.5">
      <c r="A9" s="21" t="s">
        <v>492</v>
      </c>
      <c r="B9" s="9">
        <v>8973</v>
      </c>
      <c r="C9" s="9">
        <v>10138</v>
      </c>
      <c r="D9" s="9">
        <v>10364</v>
      </c>
      <c r="E9" s="9">
        <v>11187</v>
      </c>
      <c r="J9" s="7"/>
    </row>
    <row r="10" spans="1:10" ht="13.5">
      <c r="A10" t="s">
        <v>355</v>
      </c>
      <c r="B10" s="9">
        <v>3003</v>
      </c>
      <c r="C10" s="9">
        <v>5724</v>
      </c>
      <c r="D10" s="9">
        <v>6611</v>
      </c>
      <c r="E10" s="9">
        <v>8323</v>
      </c>
      <c r="J10" s="7"/>
    </row>
    <row r="11" spans="1:10" ht="13.5">
      <c r="A11" s="14" t="s">
        <v>356</v>
      </c>
      <c r="B11" s="9">
        <f>+SUM(B9:B10)</f>
        <v>11976</v>
      </c>
      <c r="C11" s="9">
        <f>+SUM(C9:C10)</f>
        <v>15862</v>
      </c>
      <c r="D11" s="9">
        <f>+SUM(D9:D10)</f>
        <v>16975</v>
      </c>
      <c r="E11" s="9">
        <f>+SUM(E9:E10)</f>
        <v>19510</v>
      </c>
      <c r="F11" s="58">
        <f>E11/B11-1</f>
        <v>0.62909151636606553</v>
      </c>
      <c r="J11" s="7"/>
    </row>
    <row r="12" spans="1:10" ht="13.5">
      <c r="B12" s="9"/>
      <c r="C12" s="9"/>
      <c r="D12" s="9"/>
      <c r="E12" s="9"/>
      <c r="J12" s="7"/>
    </row>
    <row r="13" spans="1:10" ht="13.5">
      <c r="B13" s="9"/>
      <c r="C13" s="9"/>
      <c r="D13" s="9"/>
      <c r="E13" s="9"/>
      <c r="J13" s="7"/>
    </row>
    <row r="14" spans="1:10" ht="13.5">
      <c r="B14" s="9"/>
      <c r="C14" s="9"/>
      <c r="D14" s="9"/>
      <c r="E14" s="9"/>
      <c r="J14" s="7"/>
    </row>
    <row r="15" spans="1:10" ht="13.5">
      <c r="B15" s="9"/>
      <c r="C15" s="9"/>
      <c r="D15" s="9"/>
      <c r="E15" s="9"/>
      <c r="J15" s="7"/>
    </row>
    <row r="16" spans="1:10" ht="13.5">
      <c r="B16" s="9"/>
      <c r="C16" s="9"/>
      <c r="D16" s="9"/>
      <c r="E16" s="9"/>
      <c r="J16" s="7"/>
    </row>
    <row r="17" spans="2:10" ht="13.5">
      <c r="B17" s="9"/>
      <c r="C17" s="9"/>
      <c r="D17" s="9"/>
      <c r="E17" s="9"/>
      <c r="J17" s="7"/>
    </row>
    <row r="18" spans="2:10" ht="13.5">
      <c r="B18" s="9"/>
      <c r="C18" s="9"/>
      <c r="D18" s="9"/>
      <c r="E18" s="9"/>
      <c r="J18" s="7"/>
    </row>
    <row r="19" spans="2:10" ht="13.5">
      <c r="B19" s="9"/>
      <c r="C19" s="9"/>
      <c r="D19" s="9"/>
      <c r="E19" s="9"/>
      <c r="J19" s="7"/>
    </row>
    <row r="20" spans="2:10" ht="13.5">
      <c r="B20" s="9"/>
      <c r="C20" s="9"/>
      <c r="D20" s="9"/>
      <c r="E20" s="9"/>
      <c r="J20" s="7"/>
    </row>
    <row r="24" spans="2:10">
      <c r="B24" s="1"/>
    </row>
  </sheetData>
  <phoneticPr fontId="2" type="noConversion"/>
  <hyperlinks>
    <hyperlink ref="A1" location="Index!A1" display="Return to Index" xr:uid="{00000000-0004-0000-1C00-000000000000}"/>
  </hyperlinks>
  <pageMargins left="0.75" right="0.75" top="1" bottom="1" header="0.5" footer="0.5"/>
  <pageSetup paperSize="9" orientation="portrait" r:id="rId1"/>
  <headerFooter alignWithMargins="0"/>
  <ignoredErrors>
    <ignoredError sqref="B11:E11" formulaRange="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P19"/>
  <sheetViews>
    <sheetView workbookViewId="0"/>
  </sheetViews>
  <sheetFormatPr defaultRowHeight="12.75"/>
  <cols>
    <col min="1" max="1" width="23" customWidth="1"/>
    <col min="2" max="36" width="14" customWidth="1"/>
    <col min="37" max="43" width="14.1328125" customWidth="1"/>
  </cols>
  <sheetData>
    <row r="1" spans="1:16">
      <c r="A1" s="1" t="s">
        <v>106</v>
      </c>
    </row>
    <row r="3" spans="1:16" ht="17.649999999999999">
      <c r="A3" s="96" t="s">
        <v>183</v>
      </c>
      <c r="B3" s="84"/>
      <c r="C3" s="84"/>
    </row>
    <row r="4" spans="1:16">
      <c r="C4" s="175" t="s">
        <v>214</v>
      </c>
      <c r="D4" s="175"/>
    </row>
    <row r="5" spans="1:16" ht="13.15">
      <c r="A5" s="85" t="s">
        <v>41</v>
      </c>
      <c r="B5" s="84"/>
      <c r="C5" s="175" t="s">
        <v>215</v>
      </c>
      <c r="D5" s="175"/>
    </row>
    <row r="6" spans="1:16" ht="13.15">
      <c r="A6" s="2" t="s">
        <v>289</v>
      </c>
    </row>
    <row r="7" spans="1:16" ht="13.15">
      <c r="A7" s="5"/>
      <c r="B7" s="2"/>
    </row>
    <row r="8" spans="1:16" ht="13.15">
      <c r="B8" s="12" t="s">
        <v>290</v>
      </c>
      <c r="C8" s="12" t="s">
        <v>291</v>
      </c>
      <c r="E8" s="12" t="s">
        <v>292</v>
      </c>
      <c r="F8" s="12" t="s">
        <v>293</v>
      </c>
      <c r="G8" s="12" t="s">
        <v>294</v>
      </c>
      <c r="H8" s="12" t="s">
        <v>295</v>
      </c>
      <c r="I8" s="12" t="s">
        <v>345</v>
      </c>
      <c r="J8" s="12" t="s">
        <v>347</v>
      </c>
      <c r="K8" s="12" t="s">
        <v>387</v>
      </c>
      <c r="L8" s="12" t="s">
        <v>388</v>
      </c>
      <c r="M8" s="12" t="s">
        <v>423</v>
      </c>
      <c r="N8" s="12" t="s">
        <v>486</v>
      </c>
      <c r="O8" s="12" t="s">
        <v>511</v>
      </c>
      <c r="P8" s="12" t="s">
        <v>537</v>
      </c>
    </row>
    <row r="9" spans="1:16">
      <c r="A9" t="s">
        <v>296</v>
      </c>
      <c r="B9" s="15">
        <v>0.28999999999999998</v>
      </c>
      <c r="C9" s="15">
        <v>0.28999999999999998</v>
      </c>
      <c r="E9" s="15">
        <v>0.28999999999999998</v>
      </c>
      <c r="F9" s="15">
        <v>0.28999999999999998</v>
      </c>
      <c r="G9" s="15">
        <v>0.28000000000000003</v>
      </c>
      <c r="H9" s="15">
        <v>0.27900000000000003</v>
      </c>
      <c r="I9" s="15">
        <v>0.28000000000000003</v>
      </c>
      <c r="J9" s="15">
        <v>0.28000000000000003</v>
      </c>
      <c r="K9" s="15">
        <v>0.28999999999999998</v>
      </c>
      <c r="L9" s="15">
        <v>0.28999999999999998</v>
      </c>
      <c r="M9" s="15">
        <v>0.28999999999999998</v>
      </c>
      <c r="N9" s="15">
        <v>0.28999999999999998</v>
      </c>
      <c r="O9" s="15">
        <v>0.28999999999999998</v>
      </c>
      <c r="P9" s="15">
        <v>0.28999999999999998</v>
      </c>
    </row>
    <row r="10" spans="1:16">
      <c r="A10" t="s">
        <v>297</v>
      </c>
      <c r="B10" s="15">
        <f>1-B9</f>
        <v>0.71</v>
      </c>
      <c r="C10" s="15">
        <f>1-C9</f>
        <v>0.71</v>
      </c>
      <c r="E10" s="15">
        <f>1-E9</f>
        <v>0.71</v>
      </c>
      <c r="F10" s="15">
        <f>1-F9</f>
        <v>0.71</v>
      </c>
      <c r="G10" s="15">
        <f>1-G9</f>
        <v>0.72</v>
      </c>
      <c r="H10" s="15">
        <v>0.72099999999999997</v>
      </c>
      <c r="I10" s="15">
        <v>0.72</v>
      </c>
      <c r="J10" s="15">
        <v>0.72</v>
      </c>
      <c r="K10" s="15">
        <v>0.71</v>
      </c>
      <c r="L10" s="15">
        <v>0.71</v>
      </c>
      <c r="M10" s="15">
        <v>0.71</v>
      </c>
      <c r="N10" s="15">
        <v>0.71</v>
      </c>
      <c r="O10" s="15">
        <v>0.71</v>
      </c>
      <c r="P10" s="15">
        <v>0.71</v>
      </c>
    </row>
    <row r="14" spans="1:16">
      <c r="A14" s="221"/>
      <c r="B14" s="221"/>
      <c r="C14" s="221"/>
      <c r="D14" s="221"/>
      <c r="E14" s="221"/>
    </row>
    <row r="15" spans="1:16">
      <c r="A15" s="130"/>
    </row>
    <row r="16" spans="1:16">
      <c r="A16" s="130"/>
    </row>
    <row r="17" spans="1:1">
      <c r="A17" s="130"/>
    </row>
    <row r="18" spans="1:1">
      <c r="A18" s="130"/>
    </row>
    <row r="19" spans="1:1">
      <c r="A19" s="131"/>
    </row>
  </sheetData>
  <mergeCells count="1">
    <mergeCell ref="A14:E14"/>
  </mergeCells>
  <phoneticPr fontId="2" type="noConversion"/>
  <hyperlinks>
    <hyperlink ref="A1" location="Index!A1" display="Return to Index" xr:uid="{00000000-0004-0000-1A00-000000000000}"/>
  </hyperlinks>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29"/>
  <sheetViews>
    <sheetView workbookViewId="0"/>
  </sheetViews>
  <sheetFormatPr defaultRowHeight="12.75"/>
  <cols>
    <col min="1" max="1" width="62.33203125" customWidth="1"/>
  </cols>
  <sheetData>
    <row r="1" spans="1:22">
      <c r="A1" s="1" t="s">
        <v>106</v>
      </c>
    </row>
    <row r="3" spans="1:22" ht="17.649999999999999">
      <c r="A3" s="96" t="s">
        <v>183</v>
      </c>
      <c r="B3" s="84"/>
      <c r="C3" s="84"/>
      <c r="D3" s="84"/>
      <c r="E3" s="84"/>
      <c r="F3" s="84"/>
      <c r="G3" s="84"/>
      <c r="H3" s="84"/>
      <c r="I3" s="84"/>
    </row>
    <row r="5" spans="1:22" ht="13.15">
      <c r="A5" s="85" t="s">
        <v>162</v>
      </c>
      <c r="B5" s="84"/>
      <c r="C5" s="175" t="s">
        <v>216</v>
      </c>
      <c r="D5" s="175"/>
      <c r="E5" s="175"/>
      <c r="F5" s="84"/>
    </row>
    <row r="6" spans="1:22" ht="13.15">
      <c r="A6" s="85" t="s">
        <v>217</v>
      </c>
      <c r="B6" s="84"/>
      <c r="C6" s="175" t="s">
        <v>215</v>
      </c>
      <c r="D6" s="175"/>
      <c r="E6" s="175"/>
      <c r="F6" s="84"/>
    </row>
    <row r="7" spans="1:22">
      <c r="A7" s="14" t="s">
        <v>299</v>
      </c>
      <c r="B7" s="6"/>
    </row>
    <row r="8" spans="1:22" ht="13.15">
      <c r="B8" s="2">
        <v>2003</v>
      </c>
      <c r="C8" s="2">
        <v>2004</v>
      </c>
      <c r="D8" s="2">
        <v>2005</v>
      </c>
      <c r="E8" s="2">
        <v>2006</v>
      </c>
      <c r="F8" s="2">
        <v>2007</v>
      </c>
      <c r="G8" s="2">
        <v>2008</v>
      </c>
      <c r="H8" s="2">
        <v>2009</v>
      </c>
      <c r="I8" s="2">
        <v>2010</v>
      </c>
      <c r="J8" s="2">
        <v>2011</v>
      </c>
      <c r="K8" s="2">
        <v>2012</v>
      </c>
      <c r="L8" s="2">
        <v>2013</v>
      </c>
      <c r="M8" s="2">
        <v>2014</v>
      </c>
      <c r="N8" s="2">
        <v>2015</v>
      </c>
      <c r="O8" s="2">
        <v>2016</v>
      </c>
      <c r="P8" s="2">
        <v>2017</v>
      </c>
      <c r="Q8" s="2">
        <v>2018</v>
      </c>
      <c r="R8" s="2">
        <v>2019</v>
      </c>
      <c r="S8" s="2">
        <v>2020</v>
      </c>
      <c r="T8" s="2">
        <v>2021</v>
      </c>
      <c r="U8" s="2">
        <v>2022</v>
      </c>
      <c r="V8" s="2">
        <v>2023</v>
      </c>
    </row>
    <row r="9" spans="1:22">
      <c r="A9" s="14" t="s">
        <v>300</v>
      </c>
      <c r="B9" s="87">
        <v>87.059896200351218</v>
      </c>
      <c r="C9" s="87">
        <v>87.232115359929864</v>
      </c>
      <c r="D9" s="87">
        <v>85.883163138439812</v>
      </c>
      <c r="E9" s="87">
        <v>88.015397716035139</v>
      </c>
      <c r="F9" s="87">
        <v>86.109108885094855</v>
      </c>
      <c r="G9" s="87">
        <v>88.353549758854939</v>
      </c>
      <c r="H9" s="87">
        <v>85.193038814342742</v>
      </c>
      <c r="I9" s="87">
        <v>82.304905457192717</v>
      </c>
      <c r="J9" s="87">
        <v>85.365135740799815</v>
      </c>
      <c r="K9" s="87">
        <v>82.487331406791739</v>
      </c>
      <c r="L9" s="87">
        <v>79.792220091203347</v>
      </c>
      <c r="M9" s="87">
        <v>77.060473638778291</v>
      </c>
      <c r="N9" s="87">
        <v>77.617765209306157</v>
      </c>
      <c r="O9" s="87">
        <v>83.057811544843247</v>
      </c>
      <c r="P9" s="87">
        <v>84.989654917608817</v>
      </c>
      <c r="Q9" s="87">
        <v>82.187916890851056</v>
      </c>
      <c r="R9" s="87">
        <v>87.553936836866143</v>
      </c>
      <c r="S9" s="87">
        <v>89.572993881859787</v>
      </c>
      <c r="T9" s="87">
        <v>92.342184345574751</v>
      </c>
      <c r="U9">
        <v>92</v>
      </c>
      <c r="V9" s="61">
        <v>84.28838362810248</v>
      </c>
    </row>
    <row r="24" spans="1:4" ht="13.15">
      <c r="D24" s="2"/>
    </row>
    <row r="29" spans="1:4">
      <c r="A29" s="15"/>
      <c r="B29" s="15"/>
      <c r="C29" s="15"/>
    </row>
  </sheetData>
  <phoneticPr fontId="2" type="noConversion"/>
  <hyperlinks>
    <hyperlink ref="A1" location="Index!A1" display="Return to Index" xr:uid="{00000000-0004-0000-1B00-000000000000}"/>
  </hyperlinks>
  <pageMargins left="0.75" right="0.75" top="1" bottom="1" header="0.5" footer="0.5"/>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30"/>
  <sheetViews>
    <sheetView workbookViewId="0"/>
  </sheetViews>
  <sheetFormatPr defaultRowHeight="12.75"/>
  <cols>
    <col min="1" max="1" width="31.1328125" customWidth="1"/>
    <col min="2" max="7" width="22" customWidth="1"/>
  </cols>
  <sheetData>
    <row r="1" spans="1:6">
      <c r="A1" s="1" t="s">
        <v>106</v>
      </c>
    </row>
    <row r="3" spans="1:6" ht="17.649999999999999">
      <c r="A3" s="96" t="s">
        <v>183</v>
      </c>
      <c r="B3" s="84"/>
      <c r="C3" s="84"/>
      <c r="D3" s="84"/>
    </row>
    <row r="4" spans="1:6">
      <c r="A4" s="95"/>
      <c r="B4" s="84"/>
      <c r="C4" s="175" t="s">
        <v>222</v>
      </c>
      <c r="D4" s="86"/>
    </row>
    <row r="5" spans="1:6">
      <c r="A5" s="84"/>
      <c r="B5" s="84"/>
      <c r="C5" s="175" t="s">
        <v>215</v>
      </c>
      <c r="D5" s="86"/>
    </row>
    <row r="6" spans="1:6" ht="13.15">
      <c r="A6" s="85" t="s">
        <v>166</v>
      </c>
      <c r="B6" s="84"/>
      <c r="C6" s="84"/>
      <c r="D6" s="84"/>
    </row>
    <row r="7" spans="1:6" ht="12.75" customHeight="1">
      <c r="A7" s="85" t="s">
        <v>100</v>
      </c>
      <c r="B7" s="85"/>
      <c r="C7" s="85"/>
      <c r="D7" s="85"/>
    </row>
    <row r="9" spans="1:6" ht="13.15">
      <c r="B9" s="2">
        <v>2006</v>
      </c>
      <c r="C9" s="2">
        <v>2012</v>
      </c>
      <c r="D9" s="2">
        <v>2015</v>
      </c>
      <c r="E9" s="2">
        <v>2017</v>
      </c>
      <c r="F9" s="2">
        <v>2020</v>
      </c>
    </row>
    <row r="10" spans="1:6">
      <c r="A10" s="21" t="s">
        <v>487</v>
      </c>
      <c r="B10" s="9">
        <v>222000</v>
      </c>
      <c r="C10" s="9">
        <v>226887</v>
      </c>
      <c r="D10" s="9">
        <v>228723</v>
      </c>
      <c r="E10" s="9">
        <v>220741</v>
      </c>
      <c r="F10" s="9">
        <v>308885</v>
      </c>
    </row>
    <row r="11" spans="1:6">
      <c r="A11" s="14"/>
      <c r="B11" s="9"/>
      <c r="C11" s="9"/>
    </row>
    <row r="12" spans="1:6">
      <c r="A12" s="14"/>
      <c r="B12" s="9"/>
      <c r="C12" s="9"/>
    </row>
    <row r="13" spans="1:6">
      <c r="A13" s="14"/>
      <c r="B13" s="9"/>
      <c r="C13" s="9"/>
    </row>
    <row r="14" spans="1:6">
      <c r="A14" s="14"/>
      <c r="B14" s="9"/>
      <c r="C14" s="9"/>
    </row>
    <row r="15" spans="1:6">
      <c r="A15" s="14"/>
      <c r="B15" s="9"/>
      <c r="C15" s="9"/>
    </row>
    <row r="16" spans="1:6">
      <c r="A16" s="14"/>
      <c r="B16" s="9"/>
      <c r="C16" s="9"/>
    </row>
    <row r="17" spans="1:3">
      <c r="A17" s="14"/>
      <c r="B17" s="9"/>
      <c r="C17" s="9"/>
    </row>
    <row r="18" spans="1:3">
      <c r="A18" s="14"/>
      <c r="B18" s="9"/>
      <c r="C18" s="9"/>
    </row>
    <row r="19" spans="1:3">
      <c r="A19" s="14"/>
      <c r="B19" s="9"/>
      <c r="C19" s="9"/>
    </row>
    <row r="20" spans="1:3">
      <c r="A20" s="14"/>
      <c r="B20" s="9"/>
      <c r="C20" s="9"/>
    </row>
    <row r="21" spans="1:3">
      <c r="A21" s="14"/>
      <c r="B21" s="9"/>
      <c r="C21" s="9"/>
    </row>
    <row r="22" spans="1:3">
      <c r="A22" s="14"/>
      <c r="B22" s="9"/>
      <c r="C22" s="9"/>
    </row>
    <row r="23" spans="1:3">
      <c r="A23" s="14"/>
      <c r="B23" s="9"/>
      <c r="C23" s="9"/>
    </row>
    <row r="24" spans="1:3">
      <c r="A24" s="14"/>
      <c r="B24" s="9"/>
      <c r="C24" s="9"/>
    </row>
    <row r="25" spans="1:3">
      <c r="A25" s="14"/>
      <c r="B25" s="9"/>
      <c r="C25" s="9"/>
    </row>
    <row r="26" spans="1:3">
      <c r="A26" s="14"/>
      <c r="B26" s="9"/>
      <c r="C26" s="9"/>
    </row>
    <row r="27" spans="1:3">
      <c r="A27" s="14"/>
      <c r="B27" s="9"/>
      <c r="C27" s="9"/>
    </row>
    <row r="28" spans="1:3">
      <c r="A28" s="14"/>
      <c r="B28" s="9"/>
      <c r="C28" s="9"/>
    </row>
    <row r="29" spans="1:3">
      <c r="A29" s="14"/>
      <c r="B29" s="9"/>
      <c r="C29" s="9"/>
    </row>
    <row r="30" spans="1:3">
      <c r="A30" s="14"/>
      <c r="B30" s="9"/>
      <c r="C30" s="9"/>
    </row>
  </sheetData>
  <phoneticPr fontId="2" type="noConversion"/>
  <hyperlinks>
    <hyperlink ref="A1" location="Index!A1" display="Return to Index" xr:uid="{00000000-0004-0000-2100-000000000000}"/>
  </hyperlinks>
  <pageMargins left="0.75" right="0.75" top="1" bottom="1" header="0.5" footer="0.5"/>
  <pageSetup paperSize="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indexed="53"/>
  </sheetPr>
  <dimension ref="A1:AM211"/>
  <sheetViews>
    <sheetView workbookViewId="0"/>
  </sheetViews>
  <sheetFormatPr defaultRowHeight="12.75"/>
  <cols>
    <col min="1" max="1" width="42.86328125" customWidth="1"/>
    <col min="2" max="19" width="10" customWidth="1"/>
    <col min="20" max="20" width="11.33203125" customWidth="1"/>
    <col min="21" max="21" width="10.86328125" customWidth="1"/>
    <col min="22" max="24" width="10.33203125" customWidth="1"/>
    <col min="25" max="26" width="8" customWidth="1"/>
    <col min="28" max="28" width="17.53125" style="27" customWidth="1"/>
    <col min="29" max="39" width="9.1328125" style="27"/>
  </cols>
  <sheetData>
    <row r="1" spans="1:39">
      <c r="A1" s="1" t="s">
        <v>106</v>
      </c>
      <c r="AB1" s="21"/>
      <c r="AC1" s="21"/>
      <c r="AD1" s="21"/>
      <c r="AE1" s="21"/>
      <c r="AF1" s="21"/>
      <c r="AG1" s="21"/>
      <c r="AH1" s="21"/>
      <c r="AI1" s="21"/>
      <c r="AJ1" s="21"/>
      <c r="AK1" s="21"/>
      <c r="AL1" s="21"/>
      <c r="AM1" s="21"/>
    </row>
    <row r="3" spans="1:39" ht="17.649999999999999">
      <c r="A3" s="83" t="s">
        <v>233</v>
      </c>
      <c r="AB3" s="21"/>
      <c r="AC3" s="21"/>
      <c r="AD3" s="21"/>
      <c r="AE3" s="21"/>
      <c r="AF3" s="21"/>
      <c r="AG3" s="21"/>
      <c r="AH3" s="21"/>
      <c r="AI3" s="21"/>
      <c r="AJ3" s="21"/>
      <c r="AK3" s="21"/>
      <c r="AL3" s="21"/>
      <c r="AM3" s="21"/>
    </row>
    <row r="4" spans="1:39" ht="13.15">
      <c r="A4" s="2"/>
      <c r="AB4" s="21"/>
      <c r="AC4" s="21"/>
      <c r="AD4" s="21"/>
      <c r="AE4" s="21"/>
      <c r="AF4" s="21"/>
      <c r="AG4" s="21"/>
      <c r="AH4" s="21"/>
      <c r="AI4" s="21"/>
      <c r="AJ4" s="21"/>
      <c r="AK4" s="21"/>
      <c r="AL4" s="21"/>
      <c r="AM4" s="21"/>
    </row>
    <row r="5" spans="1:39" ht="13.15">
      <c r="A5" s="38" t="s">
        <v>348</v>
      </c>
      <c r="B5" s="39"/>
      <c r="C5" s="39"/>
      <c r="D5" s="39"/>
      <c r="E5" s="39"/>
      <c r="F5" s="39"/>
      <c r="G5" s="39"/>
      <c r="H5" s="39"/>
      <c r="I5" s="40"/>
      <c r="AB5" s="21"/>
      <c r="AC5" s="21"/>
      <c r="AD5" s="21"/>
      <c r="AE5" s="21"/>
      <c r="AF5" s="21"/>
      <c r="AG5" s="21"/>
      <c r="AH5" s="21"/>
      <c r="AI5" s="21"/>
      <c r="AJ5" s="21"/>
      <c r="AK5" s="21"/>
      <c r="AL5" s="21"/>
      <c r="AM5" s="21"/>
    </row>
    <row r="6" spans="1:39" ht="13.15">
      <c r="A6" s="41" t="s">
        <v>150</v>
      </c>
      <c r="B6" s="42"/>
      <c r="C6" s="42"/>
      <c r="D6" s="42"/>
      <c r="E6" s="42"/>
      <c r="F6" s="42"/>
      <c r="G6" s="42"/>
      <c r="H6" s="42"/>
      <c r="I6" s="43"/>
      <c r="AB6" s="21"/>
      <c r="AC6" s="21"/>
      <c r="AD6" s="21"/>
      <c r="AE6" s="21"/>
      <c r="AF6" s="21"/>
      <c r="AG6" s="21"/>
      <c r="AH6" s="21"/>
      <c r="AI6" s="21"/>
      <c r="AJ6" s="21"/>
      <c r="AK6" s="21"/>
      <c r="AL6" s="21"/>
      <c r="AM6" s="21"/>
    </row>
    <row r="7" spans="1:39" ht="13.15">
      <c r="A7" s="44" t="s">
        <v>92</v>
      </c>
      <c r="B7" s="45"/>
      <c r="C7" s="45"/>
      <c r="D7" s="45"/>
      <c r="E7" s="45"/>
      <c r="F7" s="45"/>
      <c r="G7" s="45"/>
      <c r="H7" s="45"/>
      <c r="I7" s="46"/>
    </row>
    <row r="8" spans="1:39" ht="13.15">
      <c r="M8" s="2"/>
      <c r="N8" s="2"/>
      <c r="O8" s="2"/>
      <c r="P8" s="2"/>
      <c r="Q8" s="2"/>
      <c r="R8" s="2"/>
      <c r="S8" s="2"/>
      <c r="T8" s="2"/>
      <c r="U8" s="2"/>
      <c r="V8" s="2"/>
      <c r="W8" s="2"/>
      <c r="X8" s="2"/>
      <c r="Y8" s="2"/>
      <c r="Z8" s="2"/>
      <c r="AA8" s="2"/>
      <c r="AB8" s="2"/>
      <c r="AC8" s="2"/>
      <c r="AD8" s="2"/>
      <c r="AE8" s="2"/>
      <c r="AF8" s="2"/>
    </row>
    <row r="9" spans="1:39" ht="13.15">
      <c r="A9" s="2" t="s">
        <v>19</v>
      </c>
      <c r="B9" s="12"/>
      <c r="C9" s="12"/>
      <c r="F9" s="3"/>
      <c r="G9" s="3"/>
      <c r="AB9"/>
      <c r="AC9"/>
      <c r="AD9"/>
      <c r="AE9"/>
      <c r="AF9"/>
      <c r="AG9"/>
      <c r="AH9"/>
      <c r="AI9"/>
      <c r="AJ9"/>
      <c r="AK9"/>
      <c r="AL9"/>
      <c r="AM9"/>
    </row>
    <row r="10" spans="1:39" ht="13.15">
      <c r="B10" s="55"/>
      <c r="C10" s="55"/>
      <c r="F10" s="10"/>
      <c r="G10" s="10"/>
      <c r="AB10"/>
      <c r="AC10"/>
      <c r="AD10"/>
      <c r="AE10"/>
      <c r="AF10"/>
      <c r="AG10"/>
      <c r="AH10"/>
      <c r="AI10"/>
      <c r="AJ10"/>
      <c r="AK10"/>
      <c r="AL10"/>
      <c r="AM10"/>
    </row>
    <row r="11" spans="1:39" ht="13.15">
      <c r="A11" s="2" t="s">
        <v>130</v>
      </c>
      <c r="I11" s="2"/>
      <c r="J11" s="2"/>
      <c r="K11" s="2"/>
      <c r="L11" s="2"/>
      <c r="M11" s="85"/>
      <c r="N11" s="2"/>
      <c r="O11" s="2"/>
      <c r="P11" s="2"/>
      <c r="Q11" s="2"/>
      <c r="R11" s="2"/>
      <c r="S11" s="2"/>
      <c r="T11" s="2"/>
      <c r="U11" s="2"/>
      <c r="V11" s="2"/>
      <c r="W11" s="2"/>
      <c r="X11" s="2"/>
      <c r="Y11" s="2"/>
      <c r="Z11" s="2"/>
      <c r="AA11" s="2"/>
      <c r="AB11" s="2"/>
      <c r="AC11" s="2"/>
      <c r="AD11" s="2"/>
      <c r="AE11" s="2"/>
      <c r="AF11" s="21"/>
      <c r="AG11" s="21"/>
      <c r="AH11" s="21"/>
      <c r="AI11" s="21"/>
      <c r="AJ11" s="21"/>
      <c r="AK11" s="21"/>
      <c r="AL11" s="21"/>
      <c r="AM11" s="21"/>
    </row>
    <row r="12" spans="1:39">
      <c r="A12" s="35" t="s">
        <v>84</v>
      </c>
      <c r="H12" s="14"/>
      <c r="I12" s="87"/>
      <c r="J12" s="87"/>
      <c r="K12" s="87"/>
      <c r="L12" s="87"/>
      <c r="M12" s="84"/>
      <c r="N12" s="22"/>
      <c r="O12" s="22"/>
      <c r="P12" s="22"/>
      <c r="Q12" s="22"/>
      <c r="R12" s="22"/>
      <c r="S12" s="22"/>
      <c r="T12" s="22"/>
      <c r="U12" s="22"/>
      <c r="V12" s="22"/>
      <c r="W12" s="22"/>
      <c r="X12" s="22"/>
      <c r="Y12" s="22"/>
      <c r="Z12" s="22"/>
      <c r="AA12" s="22"/>
      <c r="AB12" s="22"/>
      <c r="AC12" s="22"/>
      <c r="AD12" s="22"/>
      <c r="AE12" s="22"/>
    </row>
    <row r="13" spans="1:39" ht="13.15">
      <c r="A13" t="s">
        <v>103</v>
      </c>
      <c r="I13" s="61"/>
      <c r="L13" s="2"/>
      <c r="M13" s="2"/>
    </row>
    <row r="14" spans="1:39">
      <c r="L14" s="22"/>
      <c r="M14" s="22"/>
      <c r="N14" s="13"/>
      <c r="O14" s="13"/>
      <c r="P14" s="13"/>
      <c r="Q14" s="13"/>
      <c r="R14" s="13"/>
      <c r="S14" s="13"/>
      <c r="T14" s="13"/>
      <c r="U14" s="13"/>
      <c r="V14" s="13"/>
      <c r="W14" s="13"/>
      <c r="X14" s="13"/>
      <c r="Y14" s="13"/>
      <c r="Z14" s="13"/>
      <c r="AF14"/>
      <c r="AG14"/>
      <c r="AH14"/>
      <c r="AI14"/>
      <c r="AJ14"/>
      <c r="AK14"/>
      <c r="AL14"/>
      <c r="AM14"/>
    </row>
    <row r="15" spans="1:39">
      <c r="B15" s="19"/>
      <c r="AF15"/>
      <c r="AG15"/>
      <c r="AH15"/>
      <c r="AI15"/>
      <c r="AJ15"/>
      <c r="AK15"/>
      <c r="AL15"/>
      <c r="AM15"/>
    </row>
    <row r="16" spans="1:39" s="17" customFormat="1">
      <c r="A16" s="17" t="s">
        <v>104</v>
      </c>
    </row>
    <row r="17" spans="1:39">
      <c r="AF17"/>
      <c r="AG17"/>
      <c r="AH17"/>
      <c r="AI17"/>
      <c r="AJ17"/>
      <c r="AK17"/>
      <c r="AL17"/>
      <c r="AM17"/>
    </row>
    <row r="18" spans="1:39" ht="13.15">
      <c r="A18" s="2" t="s">
        <v>132</v>
      </c>
      <c r="B18" s="2">
        <v>2001</v>
      </c>
      <c r="C18" s="2">
        <v>2002</v>
      </c>
      <c r="D18" s="2">
        <v>2003</v>
      </c>
      <c r="E18" s="2">
        <v>2004</v>
      </c>
      <c r="F18" s="2">
        <v>2005</v>
      </c>
      <c r="G18" s="2">
        <v>2006</v>
      </c>
      <c r="H18" s="2">
        <v>2007</v>
      </c>
      <c r="I18" s="2">
        <v>2008</v>
      </c>
      <c r="J18" s="2">
        <v>2009</v>
      </c>
      <c r="K18" s="2">
        <v>2010</v>
      </c>
      <c r="L18" s="2">
        <v>2011</v>
      </c>
      <c r="M18" s="2">
        <v>2012</v>
      </c>
      <c r="N18" s="2">
        <v>2013</v>
      </c>
      <c r="O18" s="2">
        <v>2014</v>
      </c>
      <c r="P18" s="2">
        <v>2015</v>
      </c>
      <c r="Q18" s="2">
        <v>2016</v>
      </c>
      <c r="R18" s="2">
        <v>2017</v>
      </c>
      <c r="S18" s="2">
        <v>2018</v>
      </c>
      <c r="T18" s="2">
        <v>2019</v>
      </c>
      <c r="U18" s="2">
        <v>2020</v>
      </c>
      <c r="V18" s="2">
        <v>2021</v>
      </c>
      <c r="W18" s="2">
        <v>2022</v>
      </c>
      <c r="X18" s="2">
        <v>2023</v>
      </c>
      <c r="Y18" s="2">
        <v>2024</v>
      </c>
      <c r="Z18" s="2"/>
      <c r="AA18" s="2" t="s">
        <v>113</v>
      </c>
      <c r="AB18" s="20" t="s">
        <v>131</v>
      </c>
      <c r="AF18"/>
      <c r="AG18"/>
      <c r="AH18"/>
      <c r="AI18"/>
      <c r="AJ18"/>
      <c r="AK18"/>
      <c r="AL18"/>
      <c r="AM18"/>
    </row>
    <row r="19" spans="1:39">
      <c r="A19" s="168" t="s">
        <v>40</v>
      </c>
      <c r="B19" s="19">
        <f>+'Building activity'!G9</f>
        <v>2377.8669415323129</v>
      </c>
      <c r="C19" s="19">
        <f>+'Building activity'!H9</f>
        <v>2452.7538539981974</v>
      </c>
      <c r="D19" s="19">
        <f>+'Building activity'!I9</f>
        <v>3346.0151781742588</v>
      </c>
      <c r="E19" s="19">
        <f>+'Building activity'!J9</f>
        <v>3722.4933310668976</v>
      </c>
      <c r="F19" s="19">
        <f>+'Building activity'!K9</f>
        <v>4614.5660489108468</v>
      </c>
      <c r="G19" s="19">
        <f>+'Building activity'!L9</f>
        <v>4060.3838093722311</v>
      </c>
      <c r="H19" s="19">
        <f>+'Building activity'!M9</f>
        <v>4189.9326081078243</v>
      </c>
      <c r="I19" s="19">
        <f>+'Building activity'!N9</f>
        <v>3431.8202907046516</v>
      </c>
      <c r="J19" s="19">
        <f>+'Building activity'!O9</f>
        <v>2688.6519800989095</v>
      </c>
      <c r="K19" s="19">
        <f>+'Building activity'!P9</f>
        <v>2749.8015534956976</v>
      </c>
      <c r="L19" s="19">
        <f>+'Building activity'!Q9</f>
        <v>2180.3425124417117</v>
      </c>
      <c r="M19" s="19">
        <f>+'Building activity'!R9</f>
        <v>2488.8991604702155</v>
      </c>
      <c r="N19" s="19">
        <f>+'Building activity'!S9</f>
        <v>2701.7226357949767</v>
      </c>
      <c r="O19" s="19">
        <f>+'Building activity'!T9</f>
        <v>3021.9270100268823</v>
      </c>
      <c r="P19" s="19">
        <f>+'Building activity'!U9</f>
        <v>3662.8059779768259</v>
      </c>
      <c r="Q19" s="19">
        <f>+'Building activity'!V9</f>
        <v>4019.6219061027682</v>
      </c>
      <c r="R19" s="19">
        <f>+'Building activity'!W9</f>
        <v>4240.4645646356039</v>
      </c>
      <c r="S19" s="19">
        <f>+'Building activity'!X9</f>
        <v>4579.1886920656925</v>
      </c>
      <c r="T19" s="19">
        <f>+'Building activity'!Y9</f>
        <v>5117.2176692467574</v>
      </c>
      <c r="U19" s="19">
        <f>+'Building activity'!Z9</f>
        <v>4984.13983734668</v>
      </c>
      <c r="V19" s="19">
        <f>+'Building activity'!AA9</f>
        <v>5960.4100230499207</v>
      </c>
      <c r="W19" s="19">
        <f>+'Building activity'!AB9</f>
        <v>5971.2367719292597</v>
      </c>
      <c r="X19" s="19">
        <f>+'Building activity'!AC9</f>
        <v>4326.9483027171837</v>
      </c>
      <c r="Y19" s="9"/>
      <c r="Z19" s="9"/>
      <c r="AA19" s="31" t="s">
        <v>115</v>
      </c>
      <c r="AB19" s="21" t="s">
        <v>502</v>
      </c>
      <c r="AC19"/>
      <c r="AD19"/>
      <c r="AE19"/>
      <c r="AF19"/>
      <c r="AG19"/>
      <c r="AH19"/>
      <c r="AI19"/>
      <c r="AJ19"/>
      <c r="AK19"/>
      <c r="AL19"/>
      <c r="AM19"/>
    </row>
    <row r="20" spans="1:39">
      <c r="A20" s="168" t="s">
        <v>160</v>
      </c>
      <c r="B20" s="10">
        <f>+Employment!B9/100</f>
        <v>0.622</v>
      </c>
      <c r="C20" s="10">
        <f>+Employment!C9/100</f>
        <v>0.64900000000000002</v>
      </c>
      <c r="D20" s="10">
        <f>+Employment!D9/100</f>
        <v>0.65500000000000003</v>
      </c>
      <c r="E20" s="10">
        <f>+Employment!E9/100</f>
        <v>0.65700000000000003</v>
      </c>
      <c r="F20" s="10">
        <f>+Employment!F9/100</f>
        <v>0.65599999999999992</v>
      </c>
      <c r="G20" s="10">
        <f>+Employment!G9/100</f>
        <v>0.66700000000000004</v>
      </c>
      <c r="H20" s="10">
        <f>+Employment!H9/100</f>
        <v>0.67099999999999993</v>
      </c>
      <c r="I20" s="10">
        <f>+Employment!I9/100</f>
        <v>0.66799999999999993</v>
      </c>
      <c r="J20" s="10">
        <f>+Employment!J9/100</f>
        <v>0.64700000000000002</v>
      </c>
      <c r="K20" s="10">
        <f>+Employment!K9/100</f>
        <v>0.63600000000000001</v>
      </c>
      <c r="L20" s="10">
        <f>+Employment!L9/100</f>
        <v>0.64599999999999991</v>
      </c>
      <c r="M20" s="10">
        <f>+Employment!M9/100</f>
        <v>0.625</v>
      </c>
      <c r="N20" s="10">
        <f>+Employment!N9/100</f>
        <v>0.63600000000000001</v>
      </c>
      <c r="O20" s="10">
        <f>+Employment!O9/100</f>
        <v>0.64200000000000002</v>
      </c>
      <c r="P20" s="10">
        <f>+Employment!P9/100</f>
        <v>0.64200000000000002</v>
      </c>
      <c r="Q20" s="10">
        <f>+Employment!Q9/100</f>
        <v>0.65200000000000002</v>
      </c>
      <c r="R20" s="10">
        <f>+Employment!R9/100</f>
        <v>0.69</v>
      </c>
      <c r="S20" s="10">
        <f>+Employment!S9/100</f>
        <v>0.7</v>
      </c>
      <c r="T20" s="10">
        <f>+Employment!T9/100</f>
        <v>0.68</v>
      </c>
      <c r="U20" s="10">
        <f>+Employment!U9/100</f>
        <v>0.67099999999999993</v>
      </c>
      <c r="V20" s="10">
        <f>+Employment!V9/100</f>
        <v>0.67200000000000004</v>
      </c>
      <c r="W20" s="10">
        <f>+Employment!W9/100</f>
        <v>0.67099999999999993</v>
      </c>
      <c r="X20" s="10">
        <f>+Employment!X9/100</f>
        <v>0.66400000000000003</v>
      </c>
      <c r="Y20" s="10"/>
      <c r="Z20" s="10"/>
      <c r="AA20" s="31" t="s">
        <v>115</v>
      </c>
      <c r="AB20" s="14" t="s">
        <v>138</v>
      </c>
      <c r="AC20"/>
      <c r="AD20"/>
      <c r="AE20"/>
      <c r="AF20"/>
      <c r="AG20"/>
      <c r="AH20"/>
      <c r="AI20"/>
      <c r="AJ20"/>
      <c r="AK20"/>
      <c r="AL20"/>
      <c r="AM20"/>
    </row>
    <row r="21" spans="1:39">
      <c r="A21" s="168" t="s">
        <v>38</v>
      </c>
      <c r="B21" s="19">
        <f>+Income!E9</f>
        <v>1388.5477295930525</v>
      </c>
      <c r="C21" s="19">
        <f>+Income!F9</f>
        <v>1448.5737925058211</v>
      </c>
      <c r="D21" s="19">
        <f>+Income!G9</f>
        <v>1480.3343325124372</v>
      </c>
      <c r="E21" s="19">
        <f>+Income!H9</f>
        <v>1423.4965396564135</v>
      </c>
      <c r="F21" s="19">
        <f>+Income!I9</f>
        <v>1564.6068108557761</v>
      </c>
      <c r="G21" s="19">
        <f>+Income!J9</f>
        <v>1620.8915400000001</v>
      </c>
      <c r="H21" s="19">
        <f>+Income!K9</f>
        <v>1669.0087058823531</v>
      </c>
      <c r="I21" s="19">
        <f>+Income!L9</f>
        <v>1706.9293119698395</v>
      </c>
      <c r="J21" s="19">
        <f>+Income!M9</f>
        <v>1671.160379278446</v>
      </c>
      <c r="K21" s="19">
        <f>+Income!N9</f>
        <v>1580.6193903548681</v>
      </c>
      <c r="L21" s="19">
        <f>+Income!O9</f>
        <v>1500.0790838375108</v>
      </c>
      <c r="M21" s="19">
        <f>+Income!P9</f>
        <v>1575.1087243150685</v>
      </c>
      <c r="N21" s="19">
        <f>+Income!Q9</f>
        <v>1596.4772448979593</v>
      </c>
      <c r="O21" s="19">
        <f>+Income!R9</f>
        <v>1529.4169958158998</v>
      </c>
      <c r="P21" s="19">
        <f>+Income!S9</f>
        <v>1652.5849499999999</v>
      </c>
      <c r="Q21" s="19">
        <f>+Income!T9</f>
        <v>1861.1502572614108</v>
      </c>
      <c r="R21" s="19">
        <f>+Income!U9</f>
        <v>1844.0428874388258</v>
      </c>
      <c r="S21" s="19">
        <f>+Income!V9</f>
        <v>2031.4585861345718</v>
      </c>
      <c r="T21" s="19">
        <f>+Income!W9</f>
        <v>2058.8323545916555</v>
      </c>
      <c r="U21" s="19">
        <f>+Income!X9</f>
        <v>2012.8757108801669</v>
      </c>
      <c r="V21" s="19">
        <f>+Income!Y9</f>
        <v>2061.5353742470961</v>
      </c>
      <c r="W21" s="19">
        <f>+Income!Z9</f>
        <v>2051.6663388108668</v>
      </c>
      <c r="X21" s="19">
        <f>+Income!AA9</f>
        <v>2080</v>
      </c>
      <c r="Y21" s="19"/>
      <c r="Z21" s="19"/>
      <c r="AA21" s="31" t="s">
        <v>115</v>
      </c>
      <c r="AB21" s="21" t="s">
        <v>480</v>
      </c>
      <c r="AC21"/>
      <c r="AD21"/>
      <c r="AE21"/>
      <c r="AF21"/>
      <c r="AG21"/>
      <c r="AH21"/>
      <c r="AI21"/>
      <c r="AJ21"/>
      <c r="AK21"/>
      <c r="AL21"/>
      <c r="AM21"/>
    </row>
    <row r="22" spans="1:39">
      <c r="A22" s="168" t="s">
        <v>37</v>
      </c>
      <c r="B22" s="19">
        <f>+'Regional GDP'!C9</f>
        <v>48736.964504283962</v>
      </c>
      <c r="C22" s="19">
        <f>+'Regional GDP'!D9</f>
        <v>51686.161870503602</v>
      </c>
      <c r="D22" s="19">
        <f>+'Regional GDP'!E9</f>
        <v>49513.810157194683</v>
      </c>
      <c r="E22" s="19">
        <f>+'Regional GDP'!F9</f>
        <v>51522.053003533569</v>
      </c>
      <c r="F22" s="19">
        <f>+'Regional GDP'!G9</f>
        <v>51961.469318181829</v>
      </c>
      <c r="G22" s="19">
        <f>+'Regional GDP'!H9</f>
        <v>54231.596648044695</v>
      </c>
      <c r="H22" s="19">
        <f>+'Regional GDP'!I9</f>
        <v>57226.034261241963</v>
      </c>
      <c r="I22" s="19">
        <f>+'Regional GDP'!J9</f>
        <v>57035.080448065171</v>
      </c>
      <c r="J22" s="19">
        <f>+'Regional GDP'!K9</f>
        <v>58211.644067796602</v>
      </c>
      <c r="K22" s="19">
        <f>+'Regional GDP'!L9</f>
        <v>55996.926660059456</v>
      </c>
      <c r="L22" s="19">
        <f>+'Regional GDP'!M9</f>
        <v>56347.063870352722</v>
      </c>
      <c r="M22" s="19">
        <f>+'Regional GDP'!N9</f>
        <v>59207.145695364234</v>
      </c>
      <c r="N22" s="19">
        <f>+'Regional GDP'!O9</f>
        <v>57482.00662251655</v>
      </c>
      <c r="O22" s="19">
        <f>+'Regional GDP'!P9</f>
        <v>59615.668449197852</v>
      </c>
      <c r="P22" s="19">
        <f>+'Regional GDP'!Q9</f>
        <v>59173.713129496406</v>
      </c>
      <c r="Q22" s="19">
        <f>+'Regional GDP'!R9</f>
        <v>59014.240921169177</v>
      </c>
      <c r="R22" s="19">
        <f>+'Regional GDP'!S9</f>
        <v>59493.934931506839</v>
      </c>
      <c r="S22" s="19">
        <f>+'Regional GDP'!T9</f>
        <v>62247.293423271498</v>
      </c>
      <c r="T22" s="19">
        <f>+'Regional GDP'!U9</f>
        <v>64741.899334442591</v>
      </c>
      <c r="U22" s="19">
        <f>+'Regional GDP'!V9</f>
        <v>64916.068965517239</v>
      </c>
      <c r="V22" s="19">
        <f>+'Regional GDP'!W9</f>
        <v>65308.343426294814</v>
      </c>
      <c r="W22" s="19">
        <f>+'Regional GDP'!X9</f>
        <v>66342.053973013506</v>
      </c>
      <c r="X22" s="19">
        <f>+'Regional GDP'!Y9</f>
        <v>67028</v>
      </c>
      <c r="Y22" s="19"/>
      <c r="Z22" s="19"/>
      <c r="AA22" s="31" t="s">
        <v>115</v>
      </c>
      <c r="AB22" s="14" t="s">
        <v>346</v>
      </c>
      <c r="AC22"/>
      <c r="AD22"/>
      <c r="AE22"/>
      <c r="AF22"/>
      <c r="AG22"/>
      <c r="AH22"/>
      <c r="AI22"/>
      <c r="AJ22"/>
      <c r="AK22"/>
      <c r="AL22"/>
      <c r="AM22"/>
    </row>
    <row r="23" spans="1:39">
      <c r="A23" s="168" t="s">
        <v>71</v>
      </c>
      <c r="B23" s="64">
        <f t="shared" ref="B23:G23" si="0">+C23</f>
        <v>0.67222753854332806</v>
      </c>
      <c r="C23" s="64">
        <f t="shared" si="0"/>
        <v>0.67222753854332806</v>
      </c>
      <c r="D23" s="64">
        <f t="shared" si="0"/>
        <v>0.67222753854332806</v>
      </c>
      <c r="E23" s="64">
        <f t="shared" si="0"/>
        <v>0.67222753854332806</v>
      </c>
      <c r="F23" s="64">
        <f t="shared" si="0"/>
        <v>0.67222753854332806</v>
      </c>
      <c r="G23" s="64">
        <f t="shared" si="0"/>
        <v>0.67222753854332806</v>
      </c>
      <c r="H23" s="58">
        <f>+'Water use'!B9/100</f>
        <v>0.67222753854332806</v>
      </c>
      <c r="I23" s="58">
        <f>+'Water use'!C9/100</f>
        <v>0.64990962254120144</v>
      </c>
      <c r="J23" s="58">
        <f>+'Water use'!D9/100</f>
        <v>0.64461456671982997</v>
      </c>
      <c r="K23" s="58">
        <f>+'Water use'!E9/100</f>
        <v>0.68706007442849559</v>
      </c>
      <c r="L23" s="58">
        <f>+'Water use'!F9/100</f>
        <v>0.71778309409888363</v>
      </c>
      <c r="M23" s="58">
        <f>+'Water use'!G9/100</f>
        <v>0.76439659755449241</v>
      </c>
      <c r="N23" s="58">
        <f>+'Water use'!H9/100</f>
        <v>0.87071238702817655</v>
      </c>
      <c r="O23" s="58">
        <f>+'Water use'!I9/100</f>
        <v>0.85851674641148334</v>
      </c>
      <c r="P23" s="58">
        <f>+'Water use'!J9/100</f>
        <v>0.86199999999999999</v>
      </c>
      <c r="Q23" s="58">
        <f>+'Water use'!K9/100</f>
        <v>0.86481658692185004</v>
      </c>
      <c r="R23" s="58">
        <f>+'Water use'!L9/100</f>
        <v>0.85199999999999998</v>
      </c>
      <c r="S23" s="58">
        <f>+'Water use'!M9/100</f>
        <v>0.85799999999999998</v>
      </c>
      <c r="T23" s="58">
        <f>+'Water use'!N9/100</f>
        <v>0.84855382967327264</v>
      </c>
      <c r="U23" s="58">
        <f>+'Water use'!O9/100</f>
        <v>0.82852169255490082</v>
      </c>
      <c r="V23" s="58">
        <f>+'Water use'!P9/100</f>
        <v>0.89823781467595099</v>
      </c>
      <c r="W23" s="58">
        <f>+'Water use'!Q9/100</f>
        <v>0.90201928227102302</v>
      </c>
      <c r="X23" s="58">
        <f>+'Water use'!R9/100</f>
        <v>0.91164434922335302</v>
      </c>
      <c r="Y23" s="58"/>
      <c r="Z23" s="58"/>
      <c r="AA23" s="32" t="s">
        <v>114</v>
      </c>
      <c r="AB23" s="14" t="s">
        <v>73</v>
      </c>
      <c r="AC23"/>
      <c r="AD23"/>
      <c r="AE23"/>
      <c r="AF23"/>
      <c r="AG23"/>
      <c r="AH23"/>
      <c r="AI23"/>
      <c r="AJ23"/>
      <c r="AK23"/>
      <c r="AL23"/>
      <c r="AM23"/>
    </row>
    <row r="24" spans="1:39">
      <c r="A24" s="169" t="s">
        <v>83</v>
      </c>
      <c r="B24" s="101">
        <f t="shared" ref="B24:F25" si="1">+C24</f>
        <v>0.62</v>
      </c>
      <c r="C24" s="101">
        <f t="shared" si="1"/>
        <v>0.62</v>
      </c>
      <c r="D24" s="101">
        <f t="shared" si="1"/>
        <v>0.62</v>
      </c>
      <c r="E24" s="101">
        <f t="shared" si="1"/>
        <v>0.62</v>
      </c>
      <c r="F24" s="101">
        <f t="shared" si="1"/>
        <v>0.62</v>
      </c>
      <c r="G24" s="15">
        <f>+'Community engagement'!B9/100</f>
        <v>0.62</v>
      </c>
      <c r="H24" s="101">
        <f t="shared" ref="H24:P24" si="2">+G24+(($Q24-$G24)/10)</f>
        <v>0.60399999999999998</v>
      </c>
      <c r="I24" s="101">
        <f t="shared" si="2"/>
        <v>0.58799999999999997</v>
      </c>
      <c r="J24" s="101">
        <f t="shared" si="2"/>
        <v>0.57199999999999995</v>
      </c>
      <c r="K24" s="101">
        <f t="shared" si="2"/>
        <v>0.55599999999999994</v>
      </c>
      <c r="L24" s="101">
        <f t="shared" si="2"/>
        <v>0.53999999999999992</v>
      </c>
      <c r="M24" s="101">
        <f t="shared" si="2"/>
        <v>0.52399999999999991</v>
      </c>
      <c r="N24" s="101">
        <f t="shared" si="2"/>
        <v>0.5079999999999999</v>
      </c>
      <c r="O24" s="101">
        <f t="shared" si="2"/>
        <v>0.49199999999999988</v>
      </c>
      <c r="P24" s="101">
        <f t="shared" si="2"/>
        <v>0.47599999999999987</v>
      </c>
      <c r="Q24" s="15">
        <f>+'Community engagement'!C9/100</f>
        <v>0.46</v>
      </c>
      <c r="R24" s="101">
        <f>+Q24+(($S24-$Q24)/2)</f>
        <v>0.41000000000000003</v>
      </c>
      <c r="S24" s="15">
        <f>+'Community engagement'!D9/100</f>
        <v>0.36</v>
      </c>
      <c r="T24" s="101">
        <f>+S24+((U24-S24)/2)</f>
        <v>0.36499999999999999</v>
      </c>
      <c r="U24" s="15">
        <f>+'Community engagement'!E9/100</f>
        <v>0.37</v>
      </c>
      <c r="V24" s="101">
        <f>+U24+((W24-U24)/2)</f>
        <v>0.33999999999999997</v>
      </c>
      <c r="W24" s="15">
        <f>+'Community engagement'!F9/100</f>
        <v>0.31</v>
      </c>
      <c r="X24" s="101">
        <f>W24</f>
        <v>0.31</v>
      </c>
      <c r="Y24" s="15"/>
      <c r="Z24" s="15"/>
      <c r="AA24" s="31" t="s">
        <v>115</v>
      </c>
      <c r="AB24" s="14" t="s">
        <v>320</v>
      </c>
      <c r="AC24"/>
      <c r="AD24"/>
      <c r="AE24"/>
      <c r="AF24"/>
      <c r="AG24"/>
      <c r="AH24"/>
      <c r="AI24"/>
      <c r="AJ24"/>
      <c r="AK24"/>
      <c r="AL24"/>
      <c r="AM24"/>
    </row>
    <row r="25" spans="1:39">
      <c r="A25" s="169" t="s">
        <v>34</v>
      </c>
      <c r="B25" s="101">
        <f t="shared" si="1"/>
        <v>0.7</v>
      </c>
      <c r="C25" s="101">
        <f t="shared" si="1"/>
        <v>0.7</v>
      </c>
      <c r="D25" s="101">
        <f t="shared" si="1"/>
        <v>0.7</v>
      </c>
      <c r="E25" s="101">
        <f t="shared" si="1"/>
        <v>0.7</v>
      </c>
      <c r="F25" s="101">
        <f t="shared" si="1"/>
        <v>0.7</v>
      </c>
      <c r="G25" s="15">
        <f>+'Community pride'!B9/100</f>
        <v>0.7</v>
      </c>
      <c r="H25" s="101">
        <f t="shared" ref="H25:P25" si="3">+G25+(($Q25-$G25)/10)</f>
        <v>0.69799999999999995</v>
      </c>
      <c r="I25" s="101">
        <f t="shared" si="3"/>
        <v>0.69599999999999995</v>
      </c>
      <c r="J25" s="101">
        <f t="shared" si="3"/>
        <v>0.69399999999999995</v>
      </c>
      <c r="K25" s="101">
        <f t="shared" si="3"/>
        <v>0.69199999999999995</v>
      </c>
      <c r="L25" s="101">
        <f t="shared" si="3"/>
        <v>0.69</v>
      </c>
      <c r="M25" s="101">
        <f t="shared" si="3"/>
        <v>0.68799999999999994</v>
      </c>
      <c r="N25" s="101">
        <f t="shared" si="3"/>
        <v>0.68599999999999994</v>
      </c>
      <c r="O25" s="101">
        <f t="shared" si="3"/>
        <v>0.68399999999999994</v>
      </c>
      <c r="P25" s="101">
        <f t="shared" si="3"/>
        <v>0.68199999999999994</v>
      </c>
      <c r="Q25" s="15">
        <f>+'Community pride'!C9/100</f>
        <v>0.68</v>
      </c>
      <c r="R25" s="101">
        <f>+Q25+(($S25-$Q25)/2)</f>
        <v>0.65</v>
      </c>
      <c r="S25" s="15">
        <f>+'Community pride'!D9/100</f>
        <v>0.62</v>
      </c>
      <c r="T25" s="101">
        <f>+S25+((U25-S25)/2)</f>
        <v>0.64500000000000002</v>
      </c>
      <c r="U25" s="15">
        <f>+'Community pride'!E9/100</f>
        <v>0.67</v>
      </c>
      <c r="V25" s="101">
        <f>+U25+((W25-U25)/2)</f>
        <v>0.65500000000000003</v>
      </c>
      <c r="W25" s="15">
        <f>+'Community pride'!F9/100</f>
        <v>0.64</v>
      </c>
      <c r="X25" s="101">
        <f>W25</f>
        <v>0.64</v>
      </c>
      <c r="Y25" s="15"/>
      <c r="Z25" s="15"/>
      <c r="AA25" s="31" t="s">
        <v>115</v>
      </c>
      <c r="AB25" s="14" t="s">
        <v>308</v>
      </c>
      <c r="AC25"/>
      <c r="AD25"/>
      <c r="AE25"/>
      <c r="AF25"/>
      <c r="AG25"/>
      <c r="AH25"/>
      <c r="AI25"/>
      <c r="AJ25"/>
      <c r="AK25"/>
      <c r="AL25"/>
      <c r="AM25"/>
    </row>
    <row r="26" spans="1:39">
      <c r="A26" s="169" t="s">
        <v>14</v>
      </c>
      <c r="B26" s="125">
        <f>Crime!B9</f>
        <v>832.43946188836389</v>
      </c>
      <c r="C26" s="125">
        <f>Crime!C9</f>
        <v>840.64716591816773</v>
      </c>
      <c r="D26" s="125">
        <f>Crime!D9</f>
        <v>780.52205297682951</v>
      </c>
      <c r="E26" s="125">
        <f>Crime!E9</f>
        <v>720.5963372683799</v>
      </c>
      <c r="F26" s="125">
        <f>Crime!F9</f>
        <v>769.8415804414185</v>
      </c>
      <c r="G26" s="125">
        <f>Crime!G9</f>
        <v>833.58884382201973</v>
      </c>
      <c r="H26" s="125">
        <f>Crime!H9</f>
        <v>797.90576321659751</v>
      </c>
      <c r="I26" s="125">
        <f>Crime!I9</f>
        <v>760.58608287813991</v>
      </c>
      <c r="J26" s="125">
        <f>Crime!J9</f>
        <v>828.88368065746215</v>
      </c>
      <c r="K26" s="125">
        <f>Crime!K9</f>
        <v>802.94452139501607</v>
      </c>
      <c r="L26" s="125">
        <f>Crime!L9</f>
        <v>806.9806572169233</v>
      </c>
      <c r="M26" s="125">
        <f>Crime!M9</f>
        <v>739.03788716845577</v>
      </c>
      <c r="N26" s="125">
        <f>Crime!N9</f>
        <v>722.29932637929221</v>
      </c>
      <c r="O26" s="125">
        <f>Crime!O9</f>
        <v>652.6303755866229</v>
      </c>
      <c r="P26" s="59">
        <f>Crime!P9</f>
        <v>582.59997264146648</v>
      </c>
      <c r="Q26" s="59">
        <f>Crime!Q9</f>
        <v>624.84696035438412</v>
      </c>
      <c r="R26" s="59">
        <f>Crime!R9</f>
        <v>624.52049153681105</v>
      </c>
      <c r="S26" s="59">
        <f>Crime!S9</f>
        <v>588.94561786327142</v>
      </c>
      <c r="T26" s="59">
        <f>Crime!T9</f>
        <v>658.39037544077996</v>
      </c>
      <c r="U26" s="59">
        <f>Crime!U9</f>
        <v>623.39101182442641</v>
      </c>
      <c r="V26" s="59">
        <f>Crime!V9</f>
        <v>682.45823389021484</v>
      </c>
      <c r="W26" s="59">
        <f>Crime!W9</f>
        <v>832.74168737427522</v>
      </c>
      <c r="X26" s="59">
        <f>Crime!X9</f>
        <v>845.8143837200339</v>
      </c>
      <c r="Y26" s="49"/>
      <c r="Z26" s="59"/>
      <c r="AA26" s="32" t="s">
        <v>114</v>
      </c>
      <c r="AB26" s="21" t="s">
        <v>421</v>
      </c>
      <c r="AF26"/>
      <c r="AG26"/>
      <c r="AH26"/>
      <c r="AI26"/>
      <c r="AJ26"/>
      <c r="AK26"/>
      <c r="AL26"/>
      <c r="AM26"/>
    </row>
    <row r="27" spans="1:39">
      <c r="A27" s="169" t="s">
        <v>39</v>
      </c>
      <c r="B27" s="101">
        <f t="shared" ref="B27:F28" si="4">+C27</f>
        <v>0.51</v>
      </c>
      <c r="C27" s="101">
        <f t="shared" si="4"/>
        <v>0.51</v>
      </c>
      <c r="D27" s="101">
        <f t="shared" si="4"/>
        <v>0.51</v>
      </c>
      <c r="E27" s="101">
        <f t="shared" si="4"/>
        <v>0.51</v>
      </c>
      <c r="F27" s="101">
        <f t="shared" si="4"/>
        <v>0.51</v>
      </c>
      <c r="G27" s="15">
        <f>+'Cultural respect'!B9/100</f>
        <v>0.51</v>
      </c>
      <c r="H27" s="101">
        <f t="shared" ref="H27:P27" si="5">+G27+(($Q27-$G27)/10)</f>
        <v>0.502</v>
      </c>
      <c r="I27" s="101">
        <f t="shared" si="5"/>
        <v>0.49399999999999999</v>
      </c>
      <c r="J27" s="101">
        <f t="shared" si="5"/>
        <v>0.48599999999999999</v>
      </c>
      <c r="K27" s="101">
        <f t="shared" si="5"/>
        <v>0.47799999999999998</v>
      </c>
      <c r="L27" s="101">
        <f t="shared" si="5"/>
        <v>0.47</v>
      </c>
      <c r="M27" s="101">
        <f t="shared" si="5"/>
        <v>0.46199999999999997</v>
      </c>
      <c r="N27" s="101">
        <f t="shared" si="5"/>
        <v>0.45399999999999996</v>
      </c>
      <c r="O27" s="101">
        <f t="shared" si="5"/>
        <v>0.44599999999999995</v>
      </c>
      <c r="P27" s="101">
        <f t="shared" si="5"/>
        <v>0.43799999999999994</v>
      </c>
      <c r="Q27" s="15">
        <f>+'Cultural respect'!C9/100</f>
        <v>0.43</v>
      </c>
      <c r="R27" s="101">
        <f>+Q27+(($S27-$Q27)/2)</f>
        <v>0.42</v>
      </c>
      <c r="S27" s="15">
        <f>+'Cultural respect'!D9/100</f>
        <v>0.41</v>
      </c>
      <c r="T27" s="101">
        <f>+S27+((U27-S27)/2)</f>
        <v>0.43999999999999995</v>
      </c>
      <c r="U27" s="15">
        <f>+'Cultural respect'!E9/100</f>
        <v>0.47</v>
      </c>
      <c r="V27" s="101">
        <f>+U27+((W27-U27)/2)</f>
        <v>0.43</v>
      </c>
      <c r="W27" s="15">
        <f>+'Cultural respect'!F9/100</f>
        <v>0.39</v>
      </c>
      <c r="X27" s="101">
        <f>W27</f>
        <v>0.39</v>
      </c>
      <c r="Y27" s="49"/>
      <c r="Z27" s="15"/>
      <c r="AA27" s="31" t="s">
        <v>115</v>
      </c>
      <c r="AB27" s="14" t="s">
        <v>311</v>
      </c>
      <c r="AC27"/>
      <c r="AD27"/>
      <c r="AE27"/>
      <c r="AF27"/>
      <c r="AG27"/>
      <c r="AH27"/>
      <c r="AI27"/>
      <c r="AJ27"/>
      <c r="AK27"/>
      <c r="AL27"/>
      <c r="AM27"/>
    </row>
    <row r="28" spans="1:39">
      <c r="A28" s="169" t="s">
        <v>68</v>
      </c>
      <c r="B28" s="36">
        <f t="shared" si="4"/>
        <v>0.6420938235826843</v>
      </c>
      <c r="C28" s="36">
        <f t="shared" si="4"/>
        <v>0.6420938235826843</v>
      </c>
      <c r="D28" s="36">
        <f t="shared" si="4"/>
        <v>0.6420938235826843</v>
      </c>
      <c r="E28" s="36">
        <f t="shared" si="4"/>
        <v>0.6420938235826843</v>
      </c>
      <c r="F28" s="36">
        <f t="shared" si="4"/>
        <v>0.6420938235826843</v>
      </c>
      <c r="G28" s="36">
        <f>+H28</f>
        <v>0.6420938235826843</v>
      </c>
      <c r="H28" s="36">
        <f>+I28</f>
        <v>0.6420938235826843</v>
      </c>
      <c r="I28" s="133">
        <f>+J28</f>
        <v>0.6420938235826843</v>
      </c>
      <c r="J28" s="10">
        <f>+'Educational attainment'!B9/100</f>
        <v>0.6420938235826843</v>
      </c>
      <c r="K28" s="10">
        <f>+'Educational attainment'!C9/100</f>
        <v>0.66400000000000003</v>
      </c>
      <c r="L28" s="10">
        <f>+'Educational attainment'!D9/100</f>
        <v>0.69499999999999995</v>
      </c>
      <c r="M28" s="10">
        <f>+'Educational attainment'!E9/100</f>
        <v>0.72</v>
      </c>
      <c r="N28" s="10">
        <f>+'Educational attainment'!F9/100</f>
        <v>0.73599999999999999</v>
      </c>
      <c r="O28" s="10">
        <f>+'Educational attainment'!G9/100</f>
        <v>0.7609999999999999</v>
      </c>
      <c r="P28" s="10">
        <f>+'Educational attainment'!H9/100</f>
        <v>0.77599999999999991</v>
      </c>
      <c r="Q28" s="10">
        <f>+'Educational attainment'!I9/100</f>
        <v>0.79599999999999993</v>
      </c>
      <c r="R28" s="10">
        <f>+'Educational attainment'!J9/100</f>
        <v>0.78500000000000003</v>
      </c>
      <c r="S28" s="10">
        <f>+'Educational attainment'!K9/100</f>
        <v>0.79099999999999993</v>
      </c>
      <c r="T28" s="10">
        <f>+'Educational attainment'!L9/100</f>
        <v>0.78400000000000003</v>
      </c>
      <c r="U28" s="10">
        <f>+'Educational attainment'!M9/100</f>
        <v>0.79299999999999993</v>
      </c>
      <c r="V28" s="10">
        <f>+'Educational attainment'!N9/100</f>
        <v>0.77900000000000003</v>
      </c>
      <c r="W28" s="10">
        <f>+'Educational attainment'!O9/100</f>
        <v>0.72199999999999998</v>
      </c>
      <c r="X28" s="36">
        <f>W28</f>
        <v>0.72199999999999998</v>
      </c>
      <c r="Y28" s="49"/>
      <c r="Z28" s="10"/>
      <c r="AA28" s="31" t="s">
        <v>115</v>
      </c>
      <c r="AB28" s="21" t="s">
        <v>481</v>
      </c>
      <c r="AF28"/>
      <c r="AG28"/>
      <c r="AH28"/>
      <c r="AI28"/>
      <c r="AJ28"/>
      <c r="AK28"/>
      <c r="AL28"/>
      <c r="AM28"/>
    </row>
    <row r="29" spans="1:39">
      <c r="A29" s="169" t="s">
        <v>65</v>
      </c>
      <c r="B29" s="36">
        <f t="shared" ref="B29:G29" si="6">+C29</f>
        <v>0.20499999999999999</v>
      </c>
      <c r="C29" s="36">
        <f t="shared" si="6"/>
        <v>0.20499999999999999</v>
      </c>
      <c r="D29" s="36">
        <f t="shared" si="6"/>
        <v>0.20499999999999999</v>
      </c>
      <c r="E29" s="36">
        <f t="shared" si="6"/>
        <v>0.20499999999999999</v>
      </c>
      <c r="F29" s="36">
        <f t="shared" si="6"/>
        <v>0.20499999999999999</v>
      </c>
      <c r="G29" s="36">
        <f t="shared" si="6"/>
        <v>0.20499999999999999</v>
      </c>
      <c r="H29" s="10">
        <f>+'Housing affordability'!B9/100</f>
        <v>0.20499999999999999</v>
      </c>
      <c r="I29" s="10">
        <f>+'Housing affordability'!C9/100</f>
        <v>0.18600000000000003</v>
      </c>
      <c r="J29" s="10">
        <f>+'Housing affordability'!D9/100</f>
        <v>0.20499999999999999</v>
      </c>
      <c r="K29" s="10">
        <f>+'Housing affordability'!E9/100</f>
        <v>0.17699999999999999</v>
      </c>
      <c r="L29" s="10">
        <f>+'Housing affordability'!F9/100</f>
        <v>0.183</v>
      </c>
      <c r="M29" s="10">
        <f>+'Housing affordability'!G9/100</f>
        <v>0.20100000000000001</v>
      </c>
      <c r="N29" s="10">
        <f>+'Housing affordability'!H9/100</f>
        <v>0.17199999999999999</v>
      </c>
      <c r="O29" s="10">
        <f>+'Housing affordability'!I9/100</f>
        <v>0.20300000000000001</v>
      </c>
      <c r="P29" s="10">
        <f>+'Housing affordability'!J9/100</f>
        <v>0.18899999999999997</v>
      </c>
      <c r="Q29" s="10">
        <f>+'Housing affordability'!K9/100</f>
        <v>0.20399999999999999</v>
      </c>
      <c r="R29" s="10">
        <f>+'Housing affordability'!L9/100</f>
        <v>0.19899999999999998</v>
      </c>
      <c r="S29" s="10">
        <f>+'Housing affordability'!M9/100</f>
        <v>0.20199999999999999</v>
      </c>
      <c r="T29" s="10">
        <f>+'Housing affordability'!N9/100</f>
        <v>0.19600000000000001</v>
      </c>
      <c r="U29" s="10">
        <f>+'Housing affordability'!O9/100</f>
        <v>0.20600000000000002</v>
      </c>
      <c r="V29" s="10">
        <f>+'Housing affordability'!P9/100</f>
        <v>0.19899999999999998</v>
      </c>
      <c r="W29" s="36">
        <f>AVERAGE(V29,X29)</f>
        <v>0.21099999999999999</v>
      </c>
      <c r="X29" s="10">
        <f>+'Housing affordability'!R9/100</f>
        <v>0.223</v>
      </c>
      <c r="Y29" s="49"/>
      <c r="Z29" s="10"/>
      <c r="AA29" s="32" t="s">
        <v>114</v>
      </c>
      <c r="AB29" s="21" t="s">
        <v>510</v>
      </c>
      <c r="AF29"/>
      <c r="AG29"/>
      <c r="AH29"/>
      <c r="AI29"/>
      <c r="AJ29"/>
      <c r="AK29"/>
      <c r="AL29"/>
      <c r="AM29"/>
    </row>
    <row r="30" spans="1:39">
      <c r="A30" s="169" t="s">
        <v>159</v>
      </c>
      <c r="B30" s="65">
        <f t="shared" ref="B30:G30" si="7">+C30</f>
        <v>0.35107619309999999</v>
      </c>
      <c r="C30" s="65">
        <f t="shared" si="7"/>
        <v>0.35107619309999999</v>
      </c>
      <c r="D30" s="65">
        <f t="shared" si="7"/>
        <v>0.35107619309999999</v>
      </c>
      <c r="E30" s="65">
        <f t="shared" si="7"/>
        <v>0.35107619309999999</v>
      </c>
      <c r="F30" s="65">
        <f t="shared" si="7"/>
        <v>0.35107619309999999</v>
      </c>
      <c r="G30" s="65">
        <f t="shared" si="7"/>
        <v>0.35107619309999999</v>
      </c>
      <c r="H30" s="22">
        <f>+'Income inequality'!B11</f>
        <v>0.35107619309999999</v>
      </c>
      <c r="I30" s="22">
        <f>+'Income inequality'!C11</f>
        <v>0.4008313489</v>
      </c>
      <c r="J30" s="22">
        <f>+'Income inequality'!D11</f>
        <v>0.31539996650000002</v>
      </c>
      <c r="K30" s="22">
        <f>+'Income inequality'!E11</f>
        <v>0.35549977939999999</v>
      </c>
      <c r="L30" s="22">
        <f>+'Income inequality'!F11</f>
        <v>0.39271483140000002</v>
      </c>
      <c r="M30" s="22">
        <f>+'Income inequality'!G11</f>
        <v>0.412406151</v>
      </c>
      <c r="N30" s="22">
        <f>+'Income inequality'!H11</f>
        <v>0.341751201</v>
      </c>
      <c r="O30" s="22">
        <f>+'Income inequality'!I11</f>
        <v>0.37529659230000001</v>
      </c>
      <c r="P30" s="22">
        <f>+'Income inequality'!J11</f>
        <v>0.44396520369999998</v>
      </c>
      <c r="Q30" s="22">
        <f>+'Income inequality'!K11</f>
        <v>0.41291360220000001</v>
      </c>
      <c r="R30" s="22">
        <f>+'Income inequality'!L11</f>
        <v>0.41658550750000001</v>
      </c>
      <c r="S30" s="22">
        <f>+'Income inequality'!M11</f>
        <v>0.39489459529999998</v>
      </c>
      <c r="T30" s="22">
        <f>+'Income inequality'!N11</f>
        <v>0.41007544689999997</v>
      </c>
      <c r="U30" s="22">
        <f>+'Income inequality'!O11</f>
        <v>0.38169096650000001</v>
      </c>
      <c r="V30" s="22">
        <f>+'Income inequality'!P11</f>
        <v>0.36166111379999999</v>
      </c>
      <c r="W30" s="22">
        <f>+'Income inequality'!Q11</f>
        <v>0.3545802851</v>
      </c>
      <c r="X30" s="22">
        <f>+'Income inequality'!R11</f>
        <v>0.39102622770000001</v>
      </c>
      <c r="Y30" s="49"/>
      <c r="Z30" s="22"/>
      <c r="AA30" s="32" t="s">
        <v>114</v>
      </c>
      <c r="AB30" s="14" t="s">
        <v>344</v>
      </c>
      <c r="AC30"/>
      <c r="AD30"/>
      <c r="AE30"/>
      <c r="AF30"/>
      <c r="AG30"/>
      <c r="AH30"/>
      <c r="AI30"/>
      <c r="AJ30"/>
      <c r="AK30"/>
      <c r="AL30"/>
      <c r="AM30"/>
    </row>
    <row r="31" spans="1:39">
      <c r="A31" s="169" t="s">
        <v>69</v>
      </c>
      <c r="B31" s="13">
        <f>+'Life expectancy'!D9</f>
        <v>78.5</v>
      </c>
      <c r="C31" s="37">
        <f>+(($G31-$B31)/5)+B31</f>
        <v>78.760000000000005</v>
      </c>
      <c r="D31" s="37">
        <f>+(($G31-$B31)/5)+C31</f>
        <v>79.02000000000001</v>
      </c>
      <c r="E31" s="37">
        <f>+(($G31-$B31)/5)+D31</f>
        <v>79.280000000000015</v>
      </c>
      <c r="F31" s="37">
        <f>+(($G31-$B31)/5)+E31</f>
        <v>79.54000000000002</v>
      </c>
      <c r="G31" s="13">
        <f>+'Life expectancy'!E9</f>
        <v>79.800000000000011</v>
      </c>
      <c r="H31" s="37">
        <f t="shared" ref="H31:M31" si="8">+G31+(($N31-$G31)/7)</f>
        <v>79.964285714285722</v>
      </c>
      <c r="I31" s="37">
        <f t="shared" si="8"/>
        <v>80.128571428571433</v>
      </c>
      <c r="J31" s="37">
        <f t="shared" si="8"/>
        <v>80.292857142857144</v>
      </c>
      <c r="K31" s="37">
        <f t="shared" si="8"/>
        <v>80.457142857142856</v>
      </c>
      <c r="L31" s="37">
        <f t="shared" si="8"/>
        <v>80.621428571428567</v>
      </c>
      <c r="M31" s="37">
        <f t="shared" si="8"/>
        <v>80.785714285714278</v>
      </c>
      <c r="N31" s="13">
        <f>+'Life expectancy'!F9</f>
        <v>80.95</v>
      </c>
      <c r="O31" s="37">
        <f>+N31+(($S31-$N31)/5)</f>
        <v>81.03</v>
      </c>
      <c r="P31" s="37">
        <f t="shared" ref="P31:R31" si="9">+O31+(($S31-$N31)/5)</f>
        <v>81.11</v>
      </c>
      <c r="Q31" s="37">
        <f t="shared" si="9"/>
        <v>81.19</v>
      </c>
      <c r="R31" s="37">
        <f t="shared" si="9"/>
        <v>81.27</v>
      </c>
      <c r="S31" s="13">
        <f>'Life expectancy'!G9</f>
        <v>81.349999999999994</v>
      </c>
      <c r="T31" s="37">
        <f>S31</f>
        <v>81.349999999999994</v>
      </c>
      <c r="U31" s="147">
        <f>T31</f>
        <v>81.349999999999994</v>
      </c>
      <c r="V31" s="147">
        <f>U31</f>
        <v>81.349999999999994</v>
      </c>
      <c r="W31" s="147">
        <f>V31</f>
        <v>81.349999999999994</v>
      </c>
      <c r="X31" s="147">
        <f>W31</f>
        <v>81.349999999999994</v>
      </c>
      <c r="Y31" s="49"/>
      <c r="Z31" s="13"/>
      <c r="AA31" s="31" t="s">
        <v>115</v>
      </c>
      <c r="AB31" s="14" t="s">
        <v>175</v>
      </c>
      <c r="AH31"/>
      <c r="AI31"/>
      <c r="AJ31"/>
      <c r="AK31"/>
      <c r="AL31"/>
      <c r="AM31"/>
    </row>
    <row r="32" spans="1:39">
      <c r="A32" s="169" t="s">
        <v>154</v>
      </c>
      <c r="B32" s="101">
        <f t="shared" ref="B32:F32" si="10">+C32</f>
        <v>0.9</v>
      </c>
      <c r="C32" s="101">
        <f t="shared" si="10"/>
        <v>0.9</v>
      </c>
      <c r="D32" s="101">
        <f t="shared" si="10"/>
        <v>0.9</v>
      </c>
      <c r="E32" s="101">
        <f t="shared" si="10"/>
        <v>0.9</v>
      </c>
      <c r="F32" s="101">
        <f t="shared" si="10"/>
        <v>0.9</v>
      </c>
      <c r="G32" s="15">
        <f>+'Life satisfaction'!B10/100</f>
        <v>0.9</v>
      </c>
      <c r="H32" s="101">
        <f t="shared" ref="H32:P32" si="11">+G32+(($Q32-$G32)/10)</f>
        <v>0.89400000000000002</v>
      </c>
      <c r="I32" s="101">
        <f t="shared" si="11"/>
        <v>0.88800000000000001</v>
      </c>
      <c r="J32" s="101">
        <f t="shared" si="11"/>
        <v>0.88200000000000001</v>
      </c>
      <c r="K32" s="101">
        <f t="shared" si="11"/>
        <v>0.876</v>
      </c>
      <c r="L32" s="101">
        <f t="shared" si="11"/>
        <v>0.87</v>
      </c>
      <c r="M32" s="101">
        <f t="shared" si="11"/>
        <v>0.86399999999999999</v>
      </c>
      <c r="N32" s="101">
        <f t="shared" si="11"/>
        <v>0.85799999999999998</v>
      </c>
      <c r="O32" s="101">
        <f t="shared" si="11"/>
        <v>0.85199999999999998</v>
      </c>
      <c r="P32" s="101">
        <f t="shared" si="11"/>
        <v>0.84599999999999997</v>
      </c>
      <c r="Q32" s="15">
        <f>+'Life satisfaction'!C10/100</f>
        <v>0.84</v>
      </c>
      <c r="R32" s="101">
        <f>+Q32+(($S32-$Q32)/2)</f>
        <v>0.85499999999999998</v>
      </c>
      <c r="S32" s="15">
        <f>+'Life satisfaction'!D10/100</f>
        <v>0.87</v>
      </c>
      <c r="T32" s="101">
        <f>+S32+((U32-S32)/2)</f>
        <v>0.875</v>
      </c>
      <c r="U32" s="15">
        <f>+'Life satisfaction'!E10/100</f>
        <v>0.88</v>
      </c>
      <c r="V32" s="101">
        <f>+U32+((W32-U32)/2)</f>
        <v>0.87</v>
      </c>
      <c r="W32" s="15">
        <f>+'Life satisfaction'!F10/100</f>
        <v>0.86</v>
      </c>
      <c r="X32" s="210">
        <f t="shared" ref="X32:X35" si="12">W32</f>
        <v>0.86</v>
      </c>
      <c r="Y32" s="49"/>
      <c r="Z32" s="15"/>
      <c r="AA32" s="31" t="s">
        <v>115</v>
      </c>
      <c r="AB32" s="14" t="s">
        <v>331</v>
      </c>
      <c r="AF32"/>
      <c r="AG32"/>
      <c r="AH32"/>
      <c r="AI32"/>
      <c r="AJ32"/>
      <c r="AK32"/>
      <c r="AL32"/>
      <c r="AM32"/>
    </row>
    <row r="33" spans="1:39">
      <c r="A33" s="169" t="s">
        <v>67</v>
      </c>
      <c r="B33" s="101">
        <f t="shared" ref="B33:F34" si="13">+C33</f>
        <v>0.9</v>
      </c>
      <c r="C33" s="101">
        <f t="shared" si="13"/>
        <v>0.9</v>
      </c>
      <c r="D33" s="101">
        <f t="shared" si="13"/>
        <v>0.9</v>
      </c>
      <c r="E33" s="101">
        <f t="shared" si="13"/>
        <v>0.9</v>
      </c>
      <c r="F33" s="101">
        <f t="shared" si="13"/>
        <v>0.9</v>
      </c>
      <c r="G33" s="15">
        <f>+'Perceived health'!B9/100</f>
        <v>0.9</v>
      </c>
      <c r="H33" s="101">
        <f t="shared" ref="H33:P33" si="14">+G33+(($Q33-$G33)/10)</f>
        <v>0.89400000000000002</v>
      </c>
      <c r="I33" s="101">
        <f t="shared" si="14"/>
        <v>0.88800000000000001</v>
      </c>
      <c r="J33" s="101">
        <f t="shared" si="14"/>
        <v>0.88200000000000001</v>
      </c>
      <c r="K33" s="101">
        <f t="shared" si="14"/>
        <v>0.876</v>
      </c>
      <c r="L33" s="101">
        <f t="shared" si="14"/>
        <v>0.87</v>
      </c>
      <c r="M33" s="101">
        <f t="shared" si="14"/>
        <v>0.86399999999999999</v>
      </c>
      <c r="N33" s="101">
        <f t="shared" si="14"/>
        <v>0.85799999999999998</v>
      </c>
      <c r="O33" s="101">
        <f t="shared" si="14"/>
        <v>0.85199999999999998</v>
      </c>
      <c r="P33" s="101">
        <f t="shared" si="14"/>
        <v>0.84599999999999997</v>
      </c>
      <c r="Q33" s="15">
        <f>+'Perceived health'!C9/100</f>
        <v>0.84</v>
      </c>
      <c r="R33" s="101">
        <f>+Q33+(($S33-$Q33)/2)</f>
        <v>0.81499999999999995</v>
      </c>
      <c r="S33" s="15">
        <f>+'Perceived health'!D9/100</f>
        <v>0.79</v>
      </c>
      <c r="T33" s="101">
        <f>+S33+((U33-S33)/2)</f>
        <v>0.79</v>
      </c>
      <c r="U33" s="15">
        <f>+'Perceived health'!E9/100</f>
        <v>0.79</v>
      </c>
      <c r="V33" s="101">
        <f>+U33+((W33-U33)/2)</f>
        <v>0.79500000000000004</v>
      </c>
      <c r="W33" s="15">
        <f>+'Perceived health'!F9/100</f>
        <v>0.8</v>
      </c>
      <c r="X33" s="210">
        <f t="shared" si="12"/>
        <v>0.8</v>
      </c>
      <c r="Y33" s="49"/>
      <c r="Z33" s="15"/>
      <c r="AA33" s="31" t="s">
        <v>115</v>
      </c>
      <c r="AB33" s="14" t="s">
        <v>313</v>
      </c>
      <c r="AH33"/>
      <c r="AI33"/>
      <c r="AJ33"/>
      <c r="AK33"/>
      <c r="AL33"/>
      <c r="AM33"/>
    </row>
    <row r="34" spans="1:39">
      <c r="A34" s="169" t="s">
        <v>111</v>
      </c>
      <c r="B34" s="102">
        <f t="shared" si="13"/>
        <v>0.6</v>
      </c>
      <c r="C34" s="101">
        <f t="shared" si="13"/>
        <v>0.6</v>
      </c>
      <c r="D34" s="101">
        <f t="shared" si="13"/>
        <v>0.6</v>
      </c>
      <c r="E34" s="101">
        <f t="shared" si="13"/>
        <v>0.6</v>
      </c>
      <c r="F34" s="101">
        <f t="shared" si="13"/>
        <v>0.6</v>
      </c>
      <c r="G34" s="15">
        <f>+'Perceptions of safety'!B10/100</f>
        <v>0.6</v>
      </c>
      <c r="H34" s="101">
        <f t="shared" ref="H34:P34" si="15">+G34+(($Q34-$G34)/10)</f>
        <v>0.60499999999999998</v>
      </c>
      <c r="I34" s="101">
        <f t="shared" si="15"/>
        <v>0.61</v>
      </c>
      <c r="J34" s="101">
        <f t="shared" si="15"/>
        <v>0.61499999999999999</v>
      </c>
      <c r="K34" s="101">
        <f t="shared" si="15"/>
        <v>0.62</v>
      </c>
      <c r="L34" s="101">
        <f t="shared" si="15"/>
        <v>0.625</v>
      </c>
      <c r="M34" s="101">
        <f t="shared" si="15"/>
        <v>0.63</v>
      </c>
      <c r="N34" s="101">
        <f t="shared" si="15"/>
        <v>0.63500000000000001</v>
      </c>
      <c r="O34" s="124">
        <f t="shared" si="15"/>
        <v>0.64</v>
      </c>
      <c r="P34" s="101">
        <f t="shared" si="15"/>
        <v>0.64500000000000002</v>
      </c>
      <c r="Q34" s="15">
        <f>+'Perceptions of safety'!C10/100</f>
        <v>0.65</v>
      </c>
      <c r="R34" s="101">
        <f>+Q34+(($S34-$Q34)/2)</f>
        <v>0.64500000000000002</v>
      </c>
      <c r="S34" s="15">
        <f>+'Perceptions of safety'!D10/100</f>
        <v>0.64</v>
      </c>
      <c r="T34" s="101">
        <f>+S34+((U34-S34)/2)</f>
        <v>0.63</v>
      </c>
      <c r="U34" s="15">
        <f>+'Perceptions of safety'!E10/100</f>
        <v>0.62</v>
      </c>
      <c r="V34" s="101">
        <f>+U34+((W34-U34)/2)</f>
        <v>0.625</v>
      </c>
      <c r="W34" s="15">
        <f>+'Perceptions of safety'!F10/100</f>
        <v>0.63</v>
      </c>
      <c r="X34" s="210">
        <f t="shared" si="12"/>
        <v>0.63</v>
      </c>
      <c r="Y34" s="49"/>
      <c r="Z34" s="15"/>
      <c r="AA34" s="31" t="s">
        <v>115</v>
      </c>
      <c r="AB34" s="14" t="s">
        <v>325</v>
      </c>
      <c r="AF34"/>
      <c r="AG34"/>
      <c r="AH34"/>
      <c r="AI34"/>
      <c r="AJ34"/>
      <c r="AK34"/>
      <c r="AL34"/>
      <c r="AM34"/>
    </row>
    <row r="35" spans="1:39">
      <c r="A35" s="169" t="s">
        <v>35</v>
      </c>
      <c r="B35" s="101">
        <f t="shared" ref="B35:E35" si="16">+C35</f>
        <v>0.61</v>
      </c>
      <c r="C35" s="101">
        <f t="shared" si="16"/>
        <v>0.61</v>
      </c>
      <c r="D35" s="101">
        <f t="shared" si="16"/>
        <v>0.61</v>
      </c>
      <c r="E35" s="101">
        <f t="shared" si="16"/>
        <v>0.61</v>
      </c>
      <c r="F35" s="101">
        <f>+G35</f>
        <v>0.61</v>
      </c>
      <c r="G35" s="15">
        <f>+'Physical activity'!B9/100</f>
        <v>0.61</v>
      </c>
      <c r="H35" s="101">
        <f t="shared" ref="H35:P35" si="17">+G35+(($Q35-$G35)/10)</f>
        <v>0.59599999999999997</v>
      </c>
      <c r="I35" s="101">
        <f t="shared" si="17"/>
        <v>0.58199999999999996</v>
      </c>
      <c r="J35" s="101">
        <f t="shared" si="17"/>
        <v>0.56799999999999995</v>
      </c>
      <c r="K35" s="101">
        <f t="shared" si="17"/>
        <v>0.55399999999999994</v>
      </c>
      <c r="L35" s="101">
        <f t="shared" si="17"/>
        <v>0.53999999999999992</v>
      </c>
      <c r="M35" s="101">
        <f t="shared" si="17"/>
        <v>0.52599999999999991</v>
      </c>
      <c r="N35" s="101">
        <f t="shared" si="17"/>
        <v>0.5119999999999999</v>
      </c>
      <c r="O35" s="101">
        <f t="shared" si="17"/>
        <v>0.49799999999999989</v>
      </c>
      <c r="P35" s="101">
        <f t="shared" si="17"/>
        <v>0.48399999999999987</v>
      </c>
      <c r="Q35" s="15">
        <f>+'Physical activity'!C9/100</f>
        <v>0.47</v>
      </c>
      <c r="R35" s="101">
        <f>+Q35+(($S35-$Q35)/2)</f>
        <v>0.435</v>
      </c>
      <c r="S35" s="15">
        <f>+'Physical activity'!D9/100</f>
        <v>0.4</v>
      </c>
      <c r="T35" s="101">
        <f>+S35+((U35-S35)/2)</f>
        <v>0.375</v>
      </c>
      <c r="U35" s="15">
        <f>+'Physical activity'!E9/100</f>
        <v>0.35</v>
      </c>
      <c r="V35" s="101">
        <f>+U35+((W35-U35)/2)</f>
        <v>0.38</v>
      </c>
      <c r="W35" s="15">
        <f>+'Physical activity'!F9/100</f>
        <v>0.41</v>
      </c>
      <c r="X35" s="210">
        <f t="shared" si="12"/>
        <v>0.41</v>
      </c>
      <c r="Y35" s="49"/>
      <c r="Z35" s="15"/>
      <c r="AA35" s="31" t="s">
        <v>115</v>
      </c>
      <c r="AB35" s="14" t="s">
        <v>317</v>
      </c>
      <c r="AC35"/>
      <c r="AD35"/>
      <c r="AE35"/>
      <c r="AF35"/>
      <c r="AG35"/>
      <c r="AH35"/>
      <c r="AI35"/>
      <c r="AJ35"/>
      <c r="AK35"/>
      <c r="AL35"/>
      <c r="AM35"/>
    </row>
    <row r="36" spans="1:39">
      <c r="A36" s="169" t="s">
        <v>70</v>
      </c>
      <c r="B36" s="13">
        <f>+'Public transport use'!B9</f>
        <v>4.1802388707926168</v>
      </c>
      <c r="C36" s="13">
        <f>+'Public transport use'!C9</f>
        <v>4.3385109801821109</v>
      </c>
      <c r="D36" s="13">
        <f>+'Public transport use'!D9</f>
        <v>4.4567510548523206</v>
      </c>
      <c r="E36" s="13">
        <f>+'Public transport use'!E9</f>
        <v>4.9154746423927174</v>
      </c>
      <c r="F36" s="13">
        <f>+'Public transport use'!F9</f>
        <v>5.0681759711860046</v>
      </c>
      <c r="G36" s="13">
        <f>+'Public transport use'!G9</f>
        <v>5.4933875890132251</v>
      </c>
      <c r="H36" s="13">
        <f>+'Public transport use'!H9</f>
        <v>7.2992700729926998</v>
      </c>
      <c r="I36" s="13">
        <f>+'Public transport use'!I9</f>
        <v>9.0886454183266938</v>
      </c>
      <c r="J36" s="13">
        <f>+'Public transport use'!J9</f>
        <v>11.116576487948842</v>
      </c>
      <c r="K36" s="13">
        <f>+'Public transport use'!K9</f>
        <v>10.960232783705139</v>
      </c>
      <c r="L36" s="13">
        <f>+'Public transport use'!L9</f>
        <v>10.397320872274143</v>
      </c>
      <c r="M36" s="13">
        <f>+'Public transport use'!M9</f>
        <v>10.596443653618032</v>
      </c>
      <c r="N36" s="13">
        <f>+'Public transport use'!N9</f>
        <v>10.181097503532737</v>
      </c>
      <c r="O36" s="13">
        <f>+'Public transport use'!O9</f>
        <v>10.108186864014799</v>
      </c>
      <c r="P36" s="13">
        <f>+'Public transport use'!P9</f>
        <v>9.8198620221669302</v>
      </c>
      <c r="Q36" s="13">
        <f>+'Public transport use'!Q9</f>
        <v>9.0226744699646648</v>
      </c>
      <c r="R36" s="13">
        <f>+'Public transport use'!R9</f>
        <v>8.5774580645161294</v>
      </c>
      <c r="S36" s="13">
        <f>+'Public transport use'!S9</f>
        <v>8.3837132043734215</v>
      </c>
      <c r="T36" s="13">
        <f>+'Public transport use'!T9</f>
        <v>8.2529483220094715</v>
      </c>
      <c r="U36" s="13">
        <f>+'Public transport use'!U9</f>
        <v>7.0799040191961611</v>
      </c>
      <c r="V36" s="13">
        <f>+'Public transport use'!V9</f>
        <v>6.4641725908372827</v>
      </c>
      <c r="W36" s="13">
        <f>+'Public transport use'!W9</f>
        <v>4.7322979056566838</v>
      </c>
      <c r="X36" s="13">
        <f>+'Public transport use'!X9</f>
        <v>6.4045905089934942</v>
      </c>
      <c r="Y36" s="49"/>
      <c r="Z36" s="13"/>
      <c r="AA36" s="31" t="s">
        <v>115</v>
      </c>
      <c r="AB36" t="s">
        <v>170</v>
      </c>
      <c r="AC36"/>
      <c r="AD36"/>
      <c r="AE36"/>
      <c r="AF36"/>
      <c r="AG36"/>
      <c r="AH36"/>
      <c r="AI36"/>
      <c r="AJ36"/>
      <c r="AK36"/>
      <c r="AL36"/>
      <c r="AM36"/>
    </row>
    <row r="37" spans="1:39">
      <c r="A37" s="169" t="s">
        <v>140</v>
      </c>
      <c r="B37" s="100">
        <f>+C37</f>
        <v>7430.4291287386222</v>
      </c>
      <c r="C37" s="100">
        <f>+D37</f>
        <v>7430.4291287386222</v>
      </c>
      <c r="D37" s="100">
        <f>+E37</f>
        <v>7430.4291287386222</v>
      </c>
      <c r="E37" s="9">
        <f>+'Road safety'!B9</f>
        <v>7430.4291287386222</v>
      </c>
      <c r="F37" s="9">
        <f>+'Road safety'!C9</f>
        <v>7723.1798302032412</v>
      </c>
      <c r="G37" s="9">
        <f>+'Road safety'!D9</f>
        <v>7085.4526958290944</v>
      </c>
      <c r="H37" s="9">
        <f>+'Road safety'!E9</f>
        <v>7933.5514724389632</v>
      </c>
      <c r="I37" s="9">
        <f>+'Road safety'!F9</f>
        <v>7036.8525896414349</v>
      </c>
      <c r="J37" s="9">
        <f>+'Road safety'!G9</f>
        <v>6278.8981800295132</v>
      </c>
      <c r="K37" s="9">
        <f>+'Road safety'!H9</f>
        <v>5977.2065955383123</v>
      </c>
      <c r="L37" s="9">
        <f>+'Road safety'!I9</f>
        <v>5621.8547807332861</v>
      </c>
      <c r="M37" s="9">
        <f>+'Road safety'!J9</f>
        <v>5285.8837485172016</v>
      </c>
      <c r="N37" s="9">
        <f>+'Road safety'!K9</f>
        <v>4373.5280263777668</v>
      </c>
      <c r="O37" s="9">
        <f>+'Road safety'!L9</f>
        <v>4692.4144310823312</v>
      </c>
      <c r="P37" s="9">
        <f>+'Road safety'!M9</f>
        <v>5591.4951368468664</v>
      </c>
      <c r="Q37" s="9">
        <f>+'Road safety'!N9</f>
        <v>5452.7385159010601</v>
      </c>
      <c r="R37" s="9">
        <f>+'Road safety'!O9</f>
        <v>5752.6881720430101</v>
      </c>
      <c r="S37" s="9">
        <f>+'Road safety'!P9</f>
        <v>5851.5559293523966</v>
      </c>
      <c r="T37" s="9">
        <f>+'Road safety'!Q9</f>
        <v>5606.341362981264</v>
      </c>
      <c r="U37" s="9">
        <f>+'Road safety'!R9</f>
        <v>4955.0089982003601</v>
      </c>
      <c r="V37" s="9">
        <f>+'Road safety'!S9</f>
        <v>4771.8332022029899</v>
      </c>
      <c r="W37" s="9">
        <f>+'Road safety'!T9</f>
        <v>5480.7318022576874</v>
      </c>
      <c r="X37" s="146">
        <f>W37</f>
        <v>5480.7318022576874</v>
      </c>
      <c r="Y37" s="49"/>
      <c r="Z37" s="9"/>
      <c r="AA37" s="32" t="s">
        <v>114</v>
      </c>
      <c r="AB37" s="27" t="s">
        <v>102</v>
      </c>
      <c r="AH37"/>
      <c r="AI37"/>
      <c r="AJ37"/>
      <c r="AK37"/>
      <c r="AL37"/>
      <c r="AM37"/>
    </row>
    <row r="38" spans="1:39">
      <c r="A38" s="169" t="s">
        <v>155</v>
      </c>
      <c r="B38" s="101">
        <f t="shared" ref="B38:F38" si="18">+C38</f>
        <v>0.63</v>
      </c>
      <c r="C38" s="101">
        <f t="shared" si="18"/>
        <v>0.63</v>
      </c>
      <c r="D38" s="101">
        <f t="shared" si="18"/>
        <v>0.63</v>
      </c>
      <c r="E38" s="101">
        <f t="shared" si="18"/>
        <v>0.63</v>
      </c>
      <c r="F38" s="101">
        <f t="shared" si="18"/>
        <v>0.63</v>
      </c>
      <c r="G38" s="15">
        <f>+'Social connectedness'!B10/100</f>
        <v>0.63</v>
      </c>
      <c r="H38" s="101">
        <f>+G38+(($Q38-$G38)/10)</f>
        <v>0.63200000000000001</v>
      </c>
      <c r="I38" s="101">
        <f t="shared" ref="I38:P38" si="19">+H38+(($Q38-$G38)/10)</f>
        <v>0.63400000000000001</v>
      </c>
      <c r="J38" s="101">
        <f t="shared" si="19"/>
        <v>0.63600000000000001</v>
      </c>
      <c r="K38" s="101">
        <f t="shared" si="19"/>
        <v>0.63800000000000001</v>
      </c>
      <c r="L38" s="101">
        <f t="shared" si="19"/>
        <v>0.64</v>
      </c>
      <c r="M38" s="101">
        <f t="shared" si="19"/>
        <v>0.64200000000000002</v>
      </c>
      <c r="N38" s="101">
        <f t="shared" si="19"/>
        <v>0.64400000000000002</v>
      </c>
      <c r="O38" s="101">
        <f t="shared" si="19"/>
        <v>0.64600000000000002</v>
      </c>
      <c r="P38" s="101">
        <f t="shared" si="19"/>
        <v>0.64800000000000002</v>
      </c>
      <c r="Q38" s="15">
        <f>+'Social connectedness'!C10/100</f>
        <v>0.65</v>
      </c>
      <c r="R38" s="101">
        <f>+Q38+(($S38-$Q38)/2)</f>
        <v>0.63500000000000001</v>
      </c>
      <c r="S38" s="15">
        <f>+'Social connectedness'!D10/100</f>
        <v>0.62</v>
      </c>
      <c r="T38" s="101">
        <f>+S38+((U38-S38)/2)</f>
        <v>0.59000000000000008</v>
      </c>
      <c r="U38" s="15">
        <f>+'Social connectedness'!E10/100</f>
        <v>0.56000000000000005</v>
      </c>
      <c r="V38" s="206">
        <f>+U38+((W38-U38)/2)</f>
        <v>0.56499999999999995</v>
      </c>
      <c r="W38" s="15">
        <f>+'Social connectedness'!F10/100</f>
        <v>0.56999999999999995</v>
      </c>
      <c r="X38" s="206">
        <f t="shared" ref="X38:X40" si="20">W38</f>
        <v>0.56999999999999995</v>
      </c>
      <c r="Y38" s="49"/>
      <c r="Z38" s="15"/>
      <c r="AA38" s="31" t="s">
        <v>115</v>
      </c>
      <c r="AB38" s="14" t="s">
        <v>288</v>
      </c>
      <c r="AC38"/>
      <c r="AD38"/>
      <c r="AE38"/>
      <c r="AF38"/>
      <c r="AG38"/>
      <c r="AH38"/>
      <c r="AI38"/>
      <c r="AJ38"/>
      <c r="AK38"/>
      <c r="AL38"/>
      <c r="AM38"/>
    </row>
    <row r="39" spans="1:39">
      <c r="A39" s="169" t="s">
        <v>36</v>
      </c>
      <c r="B39" s="10">
        <f>+'Te Reo Māori speakers'!C9/100</f>
        <v>6.3873314138505805E-2</v>
      </c>
      <c r="C39" s="36">
        <f>+(($G39-$B39)/5)+B39</f>
        <v>6.2718222607706361E-2</v>
      </c>
      <c r="D39" s="36">
        <f>+(($G39-$B39)/5)+C39</f>
        <v>6.1563131076906918E-2</v>
      </c>
      <c r="E39" s="36">
        <f>+(($G39-$B39)/5)+D39</f>
        <v>6.0408039546107475E-2</v>
      </c>
      <c r="F39" s="36">
        <f>+(($G39-$B39)/5)+E39</f>
        <v>5.9252948015308032E-2</v>
      </c>
      <c r="G39" s="10">
        <f>+'Te Reo Māori speakers'!D9/100</f>
        <v>5.8097856484508596E-2</v>
      </c>
      <c r="H39" s="36">
        <f t="shared" ref="H39:M39" si="21">+(($N39-$G39)/7)+G39</f>
        <v>5.7338809676201384E-2</v>
      </c>
      <c r="I39" s="36">
        <f t="shared" si="21"/>
        <v>5.6579762867894172E-2</v>
      </c>
      <c r="J39" s="36">
        <f t="shared" si="21"/>
        <v>5.582071605958696E-2</v>
      </c>
      <c r="K39" s="36">
        <f t="shared" si="21"/>
        <v>5.5061669251279748E-2</v>
      </c>
      <c r="L39" s="36">
        <f t="shared" si="21"/>
        <v>5.4302622442972535E-2</v>
      </c>
      <c r="M39" s="36">
        <f t="shared" si="21"/>
        <v>5.3543575634665323E-2</v>
      </c>
      <c r="N39" s="10">
        <f>+'Te Reo Māori speakers'!E9/100</f>
        <v>5.2784528826358104E-2</v>
      </c>
      <c r="O39" s="36">
        <f>+(($S39-$N39)/5)+N39</f>
        <v>5.4027623061086487E-2</v>
      </c>
      <c r="P39" s="36">
        <f>+(($S39-$N39)/5)+O39</f>
        <v>5.527071729581487E-2</v>
      </c>
      <c r="Q39" s="36">
        <f>+(($S39-$N39)/5)+P39</f>
        <v>5.6513811530543252E-2</v>
      </c>
      <c r="R39" s="36">
        <f>+(($S39-$N39)/5)+Q39</f>
        <v>5.7756905765271635E-2</v>
      </c>
      <c r="S39" s="10">
        <f>+'Te Reo Māori speakers'!F9/100</f>
        <v>5.9000000000000004E-2</v>
      </c>
      <c r="T39" s="36">
        <f>S39</f>
        <v>5.9000000000000004E-2</v>
      </c>
      <c r="U39" s="36">
        <f>T39</f>
        <v>5.9000000000000004E-2</v>
      </c>
      <c r="V39" s="36">
        <f>U39</f>
        <v>5.9000000000000004E-2</v>
      </c>
      <c r="W39" s="36">
        <f>V39</f>
        <v>5.9000000000000004E-2</v>
      </c>
      <c r="X39" s="36">
        <f t="shared" si="20"/>
        <v>5.9000000000000004E-2</v>
      </c>
      <c r="Y39" s="49"/>
      <c r="Z39" s="13"/>
      <c r="AA39" s="31" t="s">
        <v>115</v>
      </c>
      <c r="AB39" s="14" t="s">
        <v>402</v>
      </c>
      <c r="AC39"/>
      <c r="AD39"/>
      <c r="AE39"/>
      <c r="AF39"/>
      <c r="AG39"/>
      <c r="AH39"/>
      <c r="AI39"/>
      <c r="AJ39"/>
      <c r="AK39"/>
      <c r="AL39"/>
      <c r="AM39"/>
    </row>
    <row r="40" spans="1:39">
      <c r="A40" s="169" t="s">
        <v>82</v>
      </c>
      <c r="B40" s="48">
        <f t="shared" ref="B40:G40" si="22">+C40</f>
        <v>0.38609599886010615</v>
      </c>
      <c r="C40" s="48">
        <f t="shared" si="22"/>
        <v>0.38609599886010615</v>
      </c>
      <c r="D40" s="48">
        <f t="shared" si="22"/>
        <v>0.38609599886010615</v>
      </c>
      <c r="E40" s="48">
        <f t="shared" si="22"/>
        <v>0.38609599886010615</v>
      </c>
      <c r="F40" s="48">
        <f t="shared" si="22"/>
        <v>0.38609599886010615</v>
      </c>
      <c r="G40" s="48">
        <f t="shared" si="22"/>
        <v>0.38609599886010615</v>
      </c>
      <c r="H40" s="99">
        <f>+'Voter turnout'!B9/100</f>
        <v>0.38609599886010615</v>
      </c>
      <c r="I40" s="48">
        <f>+H40+(($K40-$H40)/3)</f>
        <v>0.39800485668320346</v>
      </c>
      <c r="J40" s="48">
        <f>+I40+(($K40-$H40)/3)</f>
        <v>0.40991371450630076</v>
      </c>
      <c r="K40" s="99">
        <f>+'Voter turnout'!C9/100</f>
        <v>0.42182257232939802</v>
      </c>
      <c r="L40" s="48">
        <f>+K40+(($N40-$K40)/3)</f>
        <v>0.41452165742735125</v>
      </c>
      <c r="M40" s="48">
        <f>+L40+(($N40-$K40)/3)</f>
        <v>0.40722074252530449</v>
      </c>
      <c r="N40" s="99">
        <f>+'Voter turnout'!D9/100</f>
        <v>0.39991982762325778</v>
      </c>
      <c r="O40" s="48">
        <f>+N40+(($Q40-$N40)/3)</f>
        <v>0.39230439931118055</v>
      </c>
      <c r="P40" s="48">
        <f>+O40+(($Q40-$N40)/3)</f>
        <v>0.38468897099910332</v>
      </c>
      <c r="Q40" s="99">
        <f>+'Voter turnout'!E9/100</f>
        <v>0.37707354268702609</v>
      </c>
      <c r="R40" s="48">
        <f>+Q40+(($T40-$Q40)/3)</f>
        <v>0.39632285396469258</v>
      </c>
      <c r="S40" s="48">
        <f>+R40+(($T40-$Q40)/3)</f>
        <v>0.41557216524235907</v>
      </c>
      <c r="T40" s="99">
        <f>+'Voter turnout'!F9/100</f>
        <v>0.43482147652002551</v>
      </c>
      <c r="U40" s="48">
        <f>+T40+(($W40-$T40)/3)</f>
        <v>0.41660906530178954</v>
      </c>
      <c r="V40" s="48">
        <f>+U40+(($W40-$T40)/3)</f>
        <v>0.39839665408355357</v>
      </c>
      <c r="W40" s="99">
        <f>'Voter turnout'!G9/100</f>
        <v>0.3801842428653176</v>
      </c>
      <c r="X40" s="36">
        <f t="shared" si="20"/>
        <v>0.3801842428653176</v>
      </c>
      <c r="Y40" s="49"/>
      <c r="Z40" s="98"/>
      <c r="AA40" s="31" t="s">
        <v>115</v>
      </c>
      <c r="AB40" s="21" t="s">
        <v>523</v>
      </c>
      <c r="AC40"/>
      <c r="AD40"/>
      <c r="AE40"/>
      <c r="AF40"/>
      <c r="AG40"/>
      <c r="AH40"/>
      <c r="AI40"/>
      <c r="AJ40"/>
      <c r="AK40"/>
      <c r="AL40"/>
      <c r="AM40"/>
    </row>
    <row r="41" spans="1:39">
      <c r="A41" s="170" t="s">
        <v>18</v>
      </c>
      <c r="B41" s="14">
        <v>17</v>
      </c>
      <c r="C41" s="14">
        <v>17</v>
      </c>
      <c r="D41" s="14">
        <f>+'Air quality'!B9</f>
        <v>27</v>
      </c>
      <c r="E41" s="14">
        <f>+'Air quality'!C9</f>
        <v>50</v>
      </c>
      <c r="F41" s="14">
        <f>+'Air quality'!D9</f>
        <v>38</v>
      </c>
      <c r="G41" s="14">
        <f>+'Air quality'!E9</f>
        <v>47</v>
      </c>
      <c r="H41" s="14">
        <f>+'Air quality'!F9</f>
        <v>20</v>
      </c>
      <c r="I41" s="14">
        <f>+'Air quality'!G9</f>
        <v>28</v>
      </c>
      <c r="J41" s="14">
        <f>+'Air quality'!H9</f>
        <v>38</v>
      </c>
      <c r="K41" s="14">
        <f>+'Air quality'!I9</f>
        <v>22</v>
      </c>
      <c r="L41" s="14">
        <f>+'Air quality'!J9</f>
        <v>20</v>
      </c>
      <c r="M41" s="14">
        <f>+'Air quality'!K9</f>
        <v>17</v>
      </c>
      <c r="N41" s="14">
        <f>+'Air quality'!L9</f>
        <v>12</v>
      </c>
      <c r="O41" s="14">
        <f>+'Air quality'!M9</f>
        <v>11</v>
      </c>
      <c r="P41" s="14">
        <f>+'Air quality'!N9</f>
        <v>10</v>
      </c>
      <c r="Q41" s="14">
        <f>+'Air quality'!O9</f>
        <v>5</v>
      </c>
      <c r="R41" s="14">
        <f>+'Air quality'!P9</f>
        <v>12</v>
      </c>
      <c r="S41" s="14">
        <f>+'Air quality'!Q9</f>
        <v>2</v>
      </c>
      <c r="T41" s="14">
        <f>+'Air quality'!R9</f>
        <v>5</v>
      </c>
      <c r="U41" s="14">
        <f>+'Air quality'!S9</f>
        <v>13</v>
      </c>
      <c r="V41" s="14">
        <f>+'Air quality'!T9</f>
        <v>39</v>
      </c>
      <c r="W41" s="14">
        <f>+'Air quality'!U9</f>
        <v>15</v>
      </c>
      <c r="X41" s="14">
        <f>+'Air quality'!V9</f>
        <v>18</v>
      </c>
      <c r="Y41" s="49"/>
      <c r="AA41" s="32" t="s">
        <v>114</v>
      </c>
      <c r="AB41" t="s">
        <v>139</v>
      </c>
      <c r="AC41"/>
      <c r="AD41"/>
      <c r="AE41"/>
      <c r="AF41"/>
      <c r="AG41"/>
      <c r="AH41"/>
      <c r="AI41"/>
      <c r="AJ41"/>
      <c r="AK41"/>
      <c r="AL41"/>
      <c r="AM41"/>
    </row>
    <row r="42" spans="1:39">
      <c r="A42" s="170" t="s">
        <v>360</v>
      </c>
      <c r="B42" s="60">
        <f t="shared" ref="B42:L42" si="23">+C42</f>
        <v>0.40307692307692311</v>
      </c>
      <c r="C42" s="60">
        <f t="shared" si="23"/>
        <v>0.40307692307692311</v>
      </c>
      <c r="D42" s="60">
        <f t="shared" si="23"/>
        <v>0.40307692307692311</v>
      </c>
      <c r="E42" s="60">
        <f t="shared" si="23"/>
        <v>0.40307692307692311</v>
      </c>
      <c r="F42" s="60">
        <f t="shared" si="23"/>
        <v>0.40307692307692311</v>
      </c>
      <c r="G42" s="60">
        <f t="shared" si="23"/>
        <v>0.40307692307692311</v>
      </c>
      <c r="H42" s="60">
        <f t="shared" si="23"/>
        <v>0.40307692307692311</v>
      </c>
      <c r="I42" s="60">
        <f t="shared" si="23"/>
        <v>0.40307692307692311</v>
      </c>
      <c r="J42" s="60">
        <f t="shared" si="23"/>
        <v>0.40307692307692311</v>
      </c>
      <c r="K42" s="60">
        <f t="shared" si="23"/>
        <v>0.40307692307692311</v>
      </c>
      <c r="L42" s="60">
        <f t="shared" si="23"/>
        <v>0.40307692307692311</v>
      </c>
      <c r="M42" s="49">
        <f>+'Coastal habitats'!B10</f>
        <v>0.40307692307692311</v>
      </c>
      <c r="N42" s="49">
        <f>+'Coastal habitats'!C10</f>
        <v>0.38230769230769235</v>
      </c>
      <c r="O42" s="49">
        <f>+'Coastal habitats'!D10</f>
        <v>0.3792307692307692</v>
      </c>
      <c r="P42" s="49">
        <f>+'Coastal habitats'!E10</f>
        <v>0.38446153846153847</v>
      </c>
      <c r="Q42" s="49">
        <f>+'Coastal habitats'!F10</f>
        <v>0.41219999999999996</v>
      </c>
      <c r="R42" s="49">
        <f>+'Coastal habitats'!G10</f>
        <v>0.39726666666666666</v>
      </c>
      <c r="S42" s="49">
        <f>+'Coastal habitats'!H10</f>
        <v>0.39433333333333331</v>
      </c>
      <c r="T42" s="49">
        <f>+'Coastal habitats'!I10</f>
        <v>0.3596428571428571</v>
      </c>
      <c r="U42" s="49">
        <f>+'Coastal habitats'!J10</f>
        <v>0.40404478780830483</v>
      </c>
      <c r="V42" s="49">
        <f>+'Coastal habitats'!K10</f>
        <v>0.38586419462613525</v>
      </c>
      <c r="W42" s="205">
        <f>V42</f>
        <v>0.38586419462613525</v>
      </c>
      <c r="X42" s="36">
        <f>W42</f>
        <v>0.38586419462613525</v>
      </c>
      <c r="Y42" s="49"/>
      <c r="Z42" s="49"/>
      <c r="AA42" s="31" t="s">
        <v>115</v>
      </c>
      <c r="AB42" s="14" t="s">
        <v>364</v>
      </c>
      <c r="AC42"/>
      <c r="AD42"/>
      <c r="AE42"/>
      <c r="AF42"/>
      <c r="AG42"/>
      <c r="AH42"/>
      <c r="AI42"/>
      <c r="AJ42"/>
      <c r="AK42"/>
      <c r="AL42"/>
      <c r="AM42"/>
    </row>
    <row r="43" spans="1:39">
      <c r="A43" s="170" t="s">
        <v>129</v>
      </c>
      <c r="B43" s="101">
        <f t="shared" ref="B43:C43" si="24">+C43</f>
        <v>0.7722</v>
      </c>
      <c r="C43" s="101">
        <f t="shared" si="24"/>
        <v>0.7722</v>
      </c>
      <c r="D43" s="101">
        <f>+E43</f>
        <v>0.7722</v>
      </c>
      <c r="E43" s="58">
        <f>+'Environmental attitudes'!C10/100</f>
        <v>0.7722</v>
      </c>
      <c r="F43" s="101">
        <f>E43+(($I43-$E43)/4)</f>
        <v>0.79289999999999994</v>
      </c>
      <c r="G43" s="101">
        <f>F43+(($I43-$E43)/4)</f>
        <v>0.81359999999999988</v>
      </c>
      <c r="H43" s="101">
        <f>G43+(($I43-$E43)/4)</f>
        <v>0.83429999999999982</v>
      </c>
      <c r="I43" s="58">
        <f>+'Environmental attitudes'!D10/100</f>
        <v>0.85499999999999998</v>
      </c>
      <c r="J43" s="101">
        <f>I43+(($N43-$I43)/5)</f>
        <v>0.86199999999999999</v>
      </c>
      <c r="K43" s="101">
        <f>J43+(($N43-$I43)/5)</f>
        <v>0.86899999999999999</v>
      </c>
      <c r="L43" s="101">
        <f>K43+(($N43-$I43)/5)</f>
        <v>0.876</v>
      </c>
      <c r="M43" s="101">
        <f>L43+(($N43-$I43)/5)</f>
        <v>0.88300000000000001</v>
      </c>
      <c r="N43" s="58">
        <f>+'Environmental attitudes'!E10/100</f>
        <v>0.8899999999999999</v>
      </c>
      <c r="O43" s="101">
        <f>+N43+(($Q43-$N43)/3)</f>
        <v>0.8866666666666666</v>
      </c>
      <c r="P43" s="101">
        <f>+O43+(($Q43-$N43)/3)</f>
        <v>0.8833333333333333</v>
      </c>
      <c r="Q43" s="58">
        <f>+'Environmental attitudes'!F10/100</f>
        <v>0.88</v>
      </c>
      <c r="R43" s="101">
        <f>+Q43+(($Q43-$N43)/3)</f>
        <v>0.87666666666666671</v>
      </c>
      <c r="S43" s="101">
        <f>+R43+(($Q43-$N43)/3)</f>
        <v>0.87333333333333341</v>
      </c>
      <c r="T43" s="58">
        <f>+'Environmental attitudes'!G10/100</f>
        <v>0.87</v>
      </c>
      <c r="U43" s="101">
        <f>+T43+(($W43-$T43)/3)</f>
        <v>0.85666666666666669</v>
      </c>
      <c r="V43" s="101">
        <f>+U43+(($W43-$T43)/3)</f>
        <v>0.84333333333333338</v>
      </c>
      <c r="W43" s="58">
        <f>+'Environmental attitudes'!H10/100</f>
        <v>0.83</v>
      </c>
      <c r="X43" s="101">
        <f>W43</f>
        <v>0.83</v>
      </c>
      <c r="Y43" s="49"/>
      <c r="Z43" s="58"/>
      <c r="AA43" s="31" t="s">
        <v>115</v>
      </c>
      <c r="AB43" s="14" t="s">
        <v>334</v>
      </c>
      <c r="AC43"/>
      <c r="AD43"/>
      <c r="AE43"/>
      <c r="AF43"/>
      <c r="AG43"/>
      <c r="AH43"/>
      <c r="AI43"/>
      <c r="AJ43"/>
      <c r="AK43"/>
      <c r="AL43"/>
      <c r="AM43"/>
    </row>
    <row r="44" spans="1:39">
      <c r="A44" s="170" t="s">
        <v>80</v>
      </c>
      <c r="B44" s="125">
        <f t="shared" ref="B44:F44" si="25">C44</f>
        <v>15.055</v>
      </c>
      <c r="C44" s="125">
        <f t="shared" si="25"/>
        <v>15.055</v>
      </c>
      <c r="D44" s="125">
        <f t="shared" si="25"/>
        <v>15.055</v>
      </c>
      <c r="E44" s="125">
        <f t="shared" si="25"/>
        <v>15.055</v>
      </c>
      <c r="F44" s="125">
        <f t="shared" si="25"/>
        <v>15.055</v>
      </c>
      <c r="G44" s="125">
        <f>H44</f>
        <v>15.055</v>
      </c>
      <c r="H44" s="203">
        <f>'Greenhouse gases'!B8</f>
        <v>15.055</v>
      </c>
      <c r="I44" s="203">
        <f>'Greenhouse gases'!C8</f>
        <v>16.707000000000001</v>
      </c>
      <c r="J44" s="203">
        <f>'Greenhouse gases'!D8</f>
        <v>15.42</v>
      </c>
      <c r="K44" s="203">
        <f>'Greenhouse gases'!E8</f>
        <v>14.483000000000001</v>
      </c>
      <c r="L44" s="203">
        <f>'Greenhouse gases'!F8</f>
        <v>14.622</v>
      </c>
      <c r="M44" s="203">
        <f>'Greenhouse gases'!G8</f>
        <v>15.836</v>
      </c>
      <c r="N44" s="203">
        <f>'Greenhouse gases'!H8</f>
        <v>14.875999999999999</v>
      </c>
      <c r="O44" s="203">
        <f>'Greenhouse gases'!I8</f>
        <v>14.73</v>
      </c>
      <c r="P44" s="203">
        <f>'Greenhouse gases'!J8</f>
        <v>14.496</v>
      </c>
      <c r="Q44" s="203">
        <f>'Greenhouse gases'!K8</f>
        <v>14.172000000000001</v>
      </c>
      <c r="R44" s="203">
        <f>'Greenhouse gases'!L8</f>
        <v>14.324999999999999</v>
      </c>
      <c r="S44" s="203">
        <f>'Greenhouse gases'!M8</f>
        <v>14.628</v>
      </c>
      <c r="T44" s="203">
        <f>'Greenhouse gases'!N8</f>
        <v>15.613</v>
      </c>
      <c r="U44" s="203">
        <f>'Greenhouse gases'!O8</f>
        <v>15.446999999999999</v>
      </c>
      <c r="V44" s="203">
        <f>'Greenhouse gases'!P8</f>
        <v>15.65</v>
      </c>
      <c r="W44" s="203">
        <f>'Greenhouse gases'!Q8</f>
        <v>13.58</v>
      </c>
      <c r="X44" s="207">
        <f>W44</f>
        <v>13.58</v>
      </c>
      <c r="Y44" s="49"/>
      <c r="Z44" s="58"/>
      <c r="AA44" s="32" t="s">
        <v>114</v>
      </c>
      <c r="AB44" t="s">
        <v>505</v>
      </c>
      <c r="AC44"/>
      <c r="AD44"/>
      <c r="AE44"/>
      <c r="AF44"/>
      <c r="AG44"/>
      <c r="AH44"/>
      <c r="AI44"/>
      <c r="AJ44"/>
      <c r="AK44"/>
      <c r="AL44"/>
      <c r="AM44"/>
    </row>
    <row r="45" spans="1:39">
      <c r="A45" s="170" t="s">
        <v>278</v>
      </c>
      <c r="B45" s="48">
        <f>+C45</f>
        <v>0.27091084108612729</v>
      </c>
      <c r="C45" s="48">
        <f t="shared" ref="C45:L45" si="26">+D45</f>
        <v>0.27091084108612729</v>
      </c>
      <c r="D45" s="48">
        <f t="shared" si="26"/>
        <v>0.27091084108612729</v>
      </c>
      <c r="E45" s="48">
        <f t="shared" si="26"/>
        <v>0.27091084108612729</v>
      </c>
      <c r="F45" s="48">
        <f t="shared" si="26"/>
        <v>0.27091084108612729</v>
      </c>
      <c r="G45" s="48">
        <f t="shared" si="26"/>
        <v>0.27091084108612729</v>
      </c>
      <c r="H45" s="48">
        <f t="shared" si="26"/>
        <v>0.27091084108612729</v>
      </c>
      <c r="I45" s="48">
        <f t="shared" si="26"/>
        <v>0.27091084108612729</v>
      </c>
      <c r="J45" s="48">
        <f t="shared" si="26"/>
        <v>0.27091084108612729</v>
      </c>
      <c r="K45" s="48">
        <f t="shared" si="26"/>
        <v>0.27091084108612729</v>
      </c>
      <c r="L45" s="48">
        <f t="shared" si="26"/>
        <v>0.27091084108612729</v>
      </c>
      <c r="M45" s="10">
        <f>'Indigenous vegetation'!D12/100</f>
        <v>0.27091084108612729</v>
      </c>
      <c r="N45" s="48">
        <f>M45+(($S45-$M45)/6)</f>
        <v>0.27088608756622357</v>
      </c>
      <c r="O45" s="48">
        <f>N45+(($S45-$M45)/6)</f>
        <v>0.27086133404631985</v>
      </c>
      <c r="P45" s="48">
        <f>O45+(($S45-$M45)/6)</f>
        <v>0.27083658052641613</v>
      </c>
      <c r="Q45" s="48">
        <f>P45+(($S45-$M45)/6)</f>
        <v>0.27081182700651241</v>
      </c>
      <c r="R45" s="48">
        <f>Q45+(($S45-$M45)/6)</f>
        <v>0.27078707348660869</v>
      </c>
      <c r="S45" s="10">
        <f>'Indigenous vegetation'!E12/100</f>
        <v>0.27076231996670491</v>
      </c>
      <c r="T45" s="48">
        <f>S45</f>
        <v>0.27076231996670491</v>
      </c>
      <c r="U45" s="148">
        <f t="shared" ref="U45:V47" si="27">T45</f>
        <v>0.27076231996670491</v>
      </c>
      <c r="V45" s="196">
        <f>U45</f>
        <v>0.27076231996670491</v>
      </c>
      <c r="W45" s="148">
        <f>V45</f>
        <v>0.27076231996670491</v>
      </c>
      <c r="X45" s="36">
        <f t="shared" ref="X45:X47" si="28">W45</f>
        <v>0.27076231996670491</v>
      </c>
      <c r="Y45" s="49"/>
      <c r="Z45" s="99"/>
      <c r="AA45" s="31" t="s">
        <v>115</v>
      </c>
      <c r="AB45" s="14" t="s">
        <v>283</v>
      </c>
      <c r="AC45"/>
      <c r="AD45"/>
      <c r="AE45"/>
      <c r="AF45"/>
      <c r="AG45"/>
      <c r="AH45"/>
      <c r="AI45"/>
      <c r="AJ45"/>
      <c r="AK45"/>
      <c r="AL45"/>
      <c r="AM45"/>
    </row>
    <row r="46" spans="1:39">
      <c r="A46" s="170" t="s">
        <v>72</v>
      </c>
      <c r="B46" s="36">
        <f t="shared" ref="B46:G46" si="29">+C46</f>
        <v>0.66200000000000003</v>
      </c>
      <c r="C46" s="36">
        <f t="shared" si="29"/>
        <v>0.66200000000000003</v>
      </c>
      <c r="D46" s="36">
        <f t="shared" si="29"/>
        <v>0.66200000000000003</v>
      </c>
      <c r="E46" s="36">
        <f t="shared" si="29"/>
        <v>0.66200000000000003</v>
      </c>
      <c r="F46" s="36">
        <f t="shared" si="29"/>
        <v>0.66200000000000003</v>
      </c>
      <c r="G46" s="36">
        <f t="shared" si="29"/>
        <v>0.66200000000000003</v>
      </c>
      <c r="H46" s="36">
        <f>+I46</f>
        <v>0.66200000000000003</v>
      </c>
      <c r="I46" s="10">
        <f>+Recycling!B9/100</f>
        <v>0.66200000000000003</v>
      </c>
      <c r="J46" s="36">
        <f>+AVERAGE(I46,K46)</f>
        <v>0.6885</v>
      </c>
      <c r="K46" s="10">
        <f>+Recycling!C9/100</f>
        <v>0.71499999999999997</v>
      </c>
      <c r="L46" s="36">
        <f>+AVERAGE(K46,M46)</f>
        <v>0.70899999999999996</v>
      </c>
      <c r="M46" s="10">
        <f>+Recycling!D9/100</f>
        <v>0.70299999999999996</v>
      </c>
      <c r="N46" s="36">
        <f>+M46</f>
        <v>0.70299999999999996</v>
      </c>
      <c r="O46" s="36">
        <f>+N46</f>
        <v>0.70299999999999996</v>
      </c>
      <c r="P46" s="36">
        <f>+O46</f>
        <v>0.70299999999999996</v>
      </c>
      <c r="Q46" s="36">
        <f>+P46</f>
        <v>0.70299999999999996</v>
      </c>
      <c r="R46" s="36">
        <f>+Q46</f>
        <v>0.70299999999999996</v>
      </c>
      <c r="S46" s="36">
        <f>R46</f>
        <v>0.70299999999999996</v>
      </c>
      <c r="T46" s="36">
        <f>S46</f>
        <v>0.70299999999999996</v>
      </c>
      <c r="U46" s="133">
        <f t="shared" si="27"/>
        <v>0.70299999999999996</v>
      </c>
      <c r="V46" s="196">
        <f>U46</f>
        <v>0.70299999999999996</v>
      </c>
      <c r="W46" s="133">
        <f>V46</f>
        <v>0.70299999999999996</v>
      </c>
      <c r="X46" s="36">
        <f t="shared" si="28"/>
        <v>0.70299999999999996</v>
      </c>
      <c r="Y46" s="10"/>
      <c r="Z46" s="10"/>
      <c r="AA46" s="31" t="s">
        <v>115</v>
      </c>
      <c r="AB46" t="s">
        <v>97</v>
      </c>
      <c r="AC46"/>
      <c r="AD46"/>
      <c r="AE46"/>
      <c r="AF46"/>
      <c r="AG46"/>
      <c r="AH46"/>
      <c r="AI46"/>
      <c r="AJ46"/>
      <c r="AK46"/>
      <c r="AL46"/>
      <c r="AM46"/>
    </row>
    <row r="47" spans="1:39">
      <c r="A47" s="170" t="s">
        <v>493</v>
      </c>
      <c r="B47" s="100">
        <f>C47</f>
        <v>11976</v>
      </c>
      <c r="C47" s="9">
        <f>'Rural subdivision'!B11</f>
        <v>11976</v>
      </c>
      <c r="D47" s="100">
        <f>+C47+(($I47-$C47)/6)</f>
        <v>12623.666666666666</v>
      </c>
      <c r="E47" s="100">
        <f t="shared" ref="E47:H47" si="30">+D47+(($I47-$C47)/6)</f>
        <v>13271.333333333332</v>
      </c>
      <c r="F47" s="100">
        <f t="shared" si="30"/>
        <v>13918.999999999998</v>
      </c>
      <c r="G47" s="100">
        <f t="shared" si="30"/>
        <v>14566.666666666664</v>
      </c>
      <c r="H47" s="100">
        <f t="shared" si="30"/>
        <v>15214.33333333333</v>
      </c>
      <c r="I47" s="9">
        <f>+'Rural subdivision'!C11</f>
        <v>15862</v>
      </c>
      <c r="J47" s="100">
        <f>I47+(($M47-$I47)/4)</f>
        <v>16140.25</v>
      </c>
      <c r="K47" s="100">
        <f>J47+(($M47-$I47)/4)</f>
        <v>16418.5</v>
      </c>
      <c r="L47" s="100">
        <f>K47+(($M47-$I47)/4)</f>
        <v>16696.75</v>
      </c>
      <c r="M47" s="9">
        <f>+'Rural subdivision'!D11</f>
        <v>16975</v>
      </c>
      <c r="N47" s="100">
        <f>M47+(($T47-$M47)/7)</f>
        <v>17337.142857142859</v>
      </c>
      <c r="O47" s="100">
        <f t="shared" ref="O47:S47" si="31">N47+(($T47-$M47)/7)</f>
        <v>17699.285714285717</v>
      </c>
      <c r="P47" s="100">
        <f t="shared" si="31"/>
        <v>18061.428571428576</v>
      </c>
      <c r="Q47" s="100">
        <f t="shared" si="31"/>
        <v>18423.571428571435</v>
      </c>
      <c r="R47" s="100">
        <f t="shared" si="31"/>
        <v>18785.714285714294</v>
      </c>
      <c r="S47" s="100">
        <f t="shared" si="31"/>
        <v>19147.857142857152</v>
      </c>
      <c r="T47" s="9">
        <f>'Rural subdivision'!E11</f>
        <v>19510</v>
      </c>
      <c r="U47" s="146">
        <f t="shared" si="27"/>
        <v>19510</v>
      </c>
      <c r="V47" s="146">
        <f t="shared" si="27"/>
        <v>19510</v>
      </c>
      <c r="W47" s="146">
        <f>V47</f>
        <v>19510</v>
      </c>
      <c r="X47" s="146">
        <f t="shared" si="28"/>
        <v>19510</v>
      </c>
      <c r="Y47" s="9"/>
      <c r="Z47" s="9"/>
      <c r="AA47" s="32" t="s">
        <v>114</v>
      </c>
      <c r="AB47" s="21" t="s">
        <v>503</v>
      </c>
      <c r="AC47"/>
      <c r="AD47"/>
      <c r="AE47"/>
      <c r="AF47"/>
      <c r="AG47"/>
      <c r="AH47"/>
      <c r="AI47"/>
      <c r="AJ47"/>
      <c r="AK47"/>
      <c r="AL47"/>
      <c r="AM47"/>
    </row>
    <row r="48" spans="1:39">
      <c r="A48" s="170" t="s">
        <v>41</v>
      </c>
      <c r="B48" s="36">
        <f t="shared" ref="B48:G48" si="32">+C48</f>
        <v>0.28999999999999998</v>
      </c>
      <c r="C48" s="36">
        <f t="shared" si="32"/>
        <v>0.28999999999999998</v>
      </c>
      <c r="D48" s="36">
        <f t="shared" si="32"/>
        <v>0.28999999999999998</v>
      </c>
      <c r="E48" s="36">
        <f t="shared" si="32"/>
        <v>0.28999999999999998</v>
      </c>
      <c r="F48" s="36">
        <f t="shared" si="32"/>
        <v>0.28999999999999998</v>
      </c>
      <c r="G48" s="36">
        <f t="shared" si="32"/>
        <v>0.28999999999999998</v>
      </c>
      <c r="H48" s="10">
        <f>+'River water quality'!B9</f>
        <v>0.28999999999999998</v>
      </c>
      <c r="I48" s="10">
        <f>+'River water quality'!C9</f>
        <v>0.28999999999999998</v>
      </c>
      <c r="J48" s="36">
        <f>+I48+(($M48-$H48)/6)</f>
        <v>0.28999999999999998</v>
      </c>
      <c r="K48" s="36">
        <f>+J48+(($M48-$H48)/6)</f>
        <v>0.28999999999999998</v>
      </c>
      <c r="L48" s="36">
        <f>+K48+(($M48-$H48)/6)</f>
        <v>0.28999999999999998</v>
      </c>
      <c r="M48" s="10">
        <f>+'River water quality'!E9</f>
        <v>0.28999999999999998</v>
      </c>
      <c r="N48" s="10">
        <f>+'River water quality'!F9</f>
        <v>0.28999999999999998</v>
      </c>
      <c r="O48" s="10">
        <f>+'River water quality'!G9</f>
        <v>0.28000000000000003</v>
      </c>
      <c r="P48" s="10">
        <f>+'River water quality'!H9</f>
        <v>0.27900000000000003</v>
      </c>
      <c r="Q48" s="10">
        <f>+'River water quality'!I9</f>
        <v>0.28000000000000003</v>
      </c>
      <c r="R48" s="10">
        <f>+'River water quality'!J9</f>
        <v>0.28000000000000003</v>
      </c>
      <c r="S48" s="10">
        <f>+'River water quality'!K9</f>
        <v>0.28999999999999998</v>
      </c>
      <c r="T48" s="10">
        <f>+'River water quality'!L9</f>
        <v>0.28999999999999998</v>
      </c>
      <c r="U48" s="10">
        <f>+'River water quality'!M9</f>
        <v>0.28999999999999998</v>
      </c>
      <c r="V48" s="10">
        <f>+'River water quality'!N9</f>
        <v>0.28999999999999998</v>
      </c>
      <c r="W48" s="10">
        <f>+'River water quality'!O9</f>
        <v>0.28999999999999998</v>
      </c>
      <c r="X48" s="10">
        <f>+'River water quality'!P9</f>
        <v>0.28999999999999998</v>
      </c>
      <c r="Y48" s="10"/>
      <c r="Z48" s="10"/>
      <c r="AA48" s="32" t="s">
        <v>114</v>
      </c>
      <c r="AB48" s="14" t="s">
        <v>287</v>
      </c>
      <c r="AC48"/>
      <c r="AD48"/>
      <c r="AE48"/>
      <c r="AF48"/>
      <c r="AG48"/>
      <c r="AH48"/>
      <c r="AI48"/>
      <c r="AJ48"/>
      <c r="AK48"/>
      <c r="AL48"/>
      <c r="AM48"/>
    </row>
    <row r="49" spans="1:39">
      <c r="A49" s="170" t="s">
        <v>162</v>
      </c>
      <c r="B49" s="105">
        <f>+C49</f>
        <v>0.87059896200351217</v>
      </c>
      <c r="C49" s="105">
        <f>+D49</f>
        <v>0.87059896200351217</v>
      </c>
      <c r="D49" s="104">
        <f>+'Soil quality'!B9/100</f>
        <v>0.87059896200351217</v>
      </c>
      <c r="E49" s="104">
        <f>+'Soil quality'!C9/100</f>
        <v>0.87232115359929863</v>
      </c>
      <c r="F49" s="104">
        <f>+'Soil quality'!D9/100</f>
        <v>0.85883163138439811</v>
      </c>
      <c r="G49" s="104">
        <f>+'Soil quality'!E9/100</f>
        <v>0.88015397716035138</v>
      </c>
      <c r="H49" s="104">
        <f>+'Soil quality'!F9/100</f>
        <v>0.86109108885094854</v>
      </c>
      <c r="I49" s="104">
        <f>+'Soil quality'!G9/100</f>
        <v>0.88353549758854943</v>
      </c>
      <c r="J49" s="104">
        <f>+'Soil quality'!H9/100</f>
        <v>0.85193038814342748</v>
      </c>
      <c r="K49" s="104">
        <f>+'Soil quality'!I9/100</f>
        <v>0.82304905457192712</v>
      </c>
      <c r="L49" s="104">
        <f>+'Soil quality'!J9/100</f>
        <v>0.85365135740799813</v>
      </c>
      <c r="M49" s="104">
        <f>+'Soil quality'!K9/100</f>
        <v>0.82487331406791742</v>
      </c>
      <c r="N49" s="104">
        <f>+'Soil quality'!L9/100</f>
        <v>0.79792220091203347</v>
      </c>
      <c r="O49" s="104">
        <f>+'Soil quality'!M9/100</f>
        <v>0.77060473638778293</v>
      </c>
      <c r="P49" s="104">
        <f>+'Soil quality'!N9/100</f>
        <v>0.77617765209306155</v>
      </c>
      <c r="Q49" s="104">
        <f>+'Soil quality'!O9/100</f>
        <v>0.83057811544843252</v>
      </c>
      <c r="R49" s="104">
        <f>+'Soil quality'!P9/100</f>
        <v>0.84989654917608815</v>
      </c>
      <c r="S49" s="104">
        <f>+'Soil quality'!Q9/100</f>
        <v>0.82187916890851054</v>
      </c>
      <c r="T49" s="104">
        <f>+'Soil quality'!R9/100</f>
        <v>0.87553936836866142</v>
      </c>
      <c r="U49" s="104">
        <f>+'Soil quality'!S9/100</f>
        <v>0.89572993881859786</v>
      </c>
      <c r="V49" s="195">
        <f>+'Soil quality'!T9/100</f>
        <v>0.92342184345574752</v>
      </c>
      <c r="W49" s="195">
        <f>+'Soil quality'!U9/100</f>
        <v>0.92</v>
      </c>
      <c r="X49" s="195">
        <f>+'Soil quality'!V9/100</f>
        <v>0.84288383628102481</v>
      </c>
      <c r="Y49" s="87"/>
      <c r="Z49" s="87"/>
      <c r="AA49" s="31" t="s">
        <v>115</v>
      </c>
      <c r="AB49" t="s">
        <v>298</v>
      </c>
      <c r="AC49"/>
      <c r="AD49"/>
      <c r="AE49"/>
      <c r="AF49"/>
      <c r="AG49"/>
      <c r="AH49"/>
      <c r="AI49"/>
      <c r="AJ49"/>
      <c r="AK49"/>
      <c r="AL49"/>
      <c r="AM49"/>
    </row>
    <row r="50" spans="1:39">
      <c r="A50" s="170" t="s">
        <v>166</v>
      </c>
      <c r="B50" s="47">
        <f>+C50</f>
        <v>222000</v>
      </c>
      <c r="C50" s="47">
        <f>+D50</f>
        <v>222000</v>
      </c>
      <c r="D50" s="47">
        <f>+E50</f>
        <v>222000</v>
      </c>
      <c r="E50" s="47">
        <f>+F50</f>
        <v>222000</v>
      </c>
      <c r="F50" s="47">
        <f>+G50</f>
        <v>222000</v>
      </c>
      <c r="G50" s="9">
        <f>+Waste!B10</f>
        <v>222000</v>
      </c>
      <c r="H50" s="47">
        <f>+G50+(($M50-$G50)/6)</f>
        <v>222814.5</v>
      </c>
      <c r="I50" s="47">
        <f>+H50+(($M50-$G50)/6)</f>
        <v>223629</v>
      </c>
      <c r="J50" s="47">
        <f>+I50+(($M50-$G50)/6)</f>
        <v>224443.5</v>
      </c>
      <c r="K50" s="47">
        <f>+J50+(($M50-$G50)/6)</f>
        <v>225258</v>
      </c>
      <c r="L50" s="47">
        <f>+K50+(($M50-$G50)/6)</f>
        <v>226072.5</v>
      </c>
      <c r="M50" s="9">
        <f>+Waste!C10</f>
        <v>226887</v>
      </c>
      <c r="N50" s="47">
        <f>+M50+(($P50-$M50)/3)</f>
        <v>227499</v>
      </c>
      <c r="O50" s="47">
        <f>+N50+(($P50-$M50)/3)</f>
        <v>228111</v>
      </c>
      <c r="P50" s="9">
        <f>+Waste!D10</f>
        <v>228723</v>
      </c>
      <c r="Q50" s="47">
        <f>+P50+(($R50-$P50)/2)</f>
        <v>224732</v>
      </c>
      <c r="R50" s="9">
        <f>+Waste!E10</f>
        <v>220741</v>
      </c>
      <c r="S50" s="47">
        <f>+R50+(($U50-$R50)/3)</f>
        <v>250122.33333333334</v>
      </c>
      <c r="T50" s="47">
        <f>+S50+(($U50-$R50)/3)</f>
        <v>279503.66666666669</v>
      </c>
      <c r="U50" s="9">
        <f>+Waste!F10</f>
        <v>308885</v>
      </c>
      <c r="V50" s="146">
        <f>U50</f>
        <v>308885</v>
      </c>
      <c r="W50" s="146">
        <f>V50</f>
        <v>308885</v>
      </c>
      <c r="X50" s="146">
        <f>W50</f>
        <v>308885</v>
      </c>
      <c r="Y50" s="9"/>
      <c r="Z50" s="9"/>
      <c r="AA50" s="32" t="s">
        <v>114</v>
      </c>
      <c r="AB50" t="s">
        <v>99</v>
      </c>
      <c r="AC50"/>
      <c r="AD50"/>
      <c r="AE50"/>
      <c r="AF50"/>
      <c r="AG50"/>
      <c r="AH50"/>
      <c r="AI50"/>
      <c r="AJ50"/>
      <c r="AK50"/>
      <c r="AL50"/>
      <c r="AM50"/>
    </row>
    <row r="52" spans="1:39">
      <c r="D52" s="61"/>
      <c r="E52" s="61"/>
      <c r="F52" s="61"/>
      <c r="G52" s="61"/>
      <c r="H52" s="61"/>
      <c r="I52" s="61"/>
      <c r="J52" s="61"/>
      <c r="K52" s="61"/>
      <c r="L52" s="61"/>
      <c r="M52" s="61"/>
      <c r="N52" s="61"/>
      <c r="O52" s="61"/>
    </row>
    <row r="53" spans="1:39">
      <c r="D53" s="15"/>
      <c r="E53" s="15"/>
      <c r="F53" s="15"/>
      <c r="G53" s="15"/>
      <c r="H53" s="15"/>
      <c r="I53" s="15"/>
      <c r="J53" s="15"/>
      <c r="K53" s="15"/>
      <c r="L53" s="15"/>
      <c r="M53" s="15"/>
      <c r="N53" s="15"/>
      <c r="O53" s="15"/>
      <c r="P53" s="15"/>
      <c r="Q53" s="15"/>
      <c r="R53" s="15"/>
      <c r="S53" s="15"/>
      <c r="T53" s="15"/>
      <c r="U53" s="15"/>
      <c r="V53" s="15"/>
      <c r="W53" s="15"/>
      <c r="X53" s="15"/>
      <c r="Y53" s="15"/>
      <c r="Z53" s="15"/>
      <c r="AA53" s="27"/>
      <c r="AM53"/>
    </row>
    <row r="54" spans="1:39">
      <c r="G54" s="13"/>
      <c r="H54" s="13"/>
      <c r="I54" s="13"/>
      <c r="J54" s="13"/>
      <c r="K54" s="13"/>
      <c r="L54" s="13"/>
      <c r="M54" s="13"/>
      <c r="N54" s="13"/>
      <c r="O54" s="13"/>
      <c r="P54" s="13"/>
      <c r="Q54" s="13"/>
      <c r="R54" s="13"/>
      <c r="S54" s="13"/>
      <c r="T54" s="13"/>
      <c r="U54" s="13"/>
      <c r="V54" s="13"/>
      <c r="W54" s="13"/>
      <c r="X54" s="13"/>
      <c r="Y54" s="13"/>
      <c r="Z54" s="13"/>
      <c r="AA54" s="27"/>
      <c r="AM54"/>
    </row>
    <row r="55" spans="1:39">
      <c r="AA55" s="27"/>
      <c r="AM55"/>
    </row>
    <row r="56" spans="1:39">
      <c r="AA56" s="27"/>
      <c r="AM56"/>
    </row>
    <row r="57" spans="1:39">
      <c r="AA57" s="27"/>
      <c r="AM57"/>
    </row>
    <row r="58" spans="1:39">
      <c r="AA58" s="27"/>
      <c r="AM58"/>
    </row>
    <row r="59" spans="1:39">
      <c r="AA59" s="27"/>
      <c r="AM59"/>
    </row>
    <row r="60" spans="1:39">
      <c r="AA60" s="27"/>
      <c r="AM60"/>
    </row>
    <row r="61" spans="1:39">
      <c r="AA61" s="27"/>
      <c r="AM61"/>
    </row>
    <row r="62" spans="1:39">
      <c r="AA62" s="27"/>
      <c r="AM62"/>
    </row>
    <row r="63" spans="1:39">
      <c r="AA63" s="27"/>
      <c r="AM63"/>
    </row>
    <row r="64" spans="1:39">
      <c r="AA64" s="27"/>
      <c r="AM64"/>
    </row>
    <row r="65" spans="27:39">
      <c r="AA65" s="27"/>
      <c r="AM65"/>
    </row>
    <row r="66" spans="27:39">
      <c r="AA66" s="27"/>
      <c r="AM66"/>
    </row>
    <row r="67" spans="27:39">
      <c r="AA67" s="27"/>
      <c r="AM67"/>
    </row>
    <row r="68" spans="27:39">
      <c r="AA68" s="27"/>
      <c r="AM68"/>
    </row>
    <row r="69" spans="27:39">
      <c r="AA69" s="27"/>
      <c r="AM69"/>
    </row>
    <row r="70" spans="27:39">
      <c r="AA70" s="27"/>
      <c r="AM70"/>
    </row>
    <row r="71" spans="27:39">
      <c r="AA71" s="27"/>
      <c r="AM71"/>
    </row>
    <row r="72" spans="27:39">
      <c r="AA72" s="27"/>
      <c r="AM72"/>
    </row>
    <row r="73" spans="27:39">
      <c r="AA73" s="27"/>
      <c r="AM73"/>
    </row>
    <row r="74" spans="27:39">
      <c r="AA74" s="27"/>
      <c r="AM74"/>
    </row>
    <row r="75" spans="27:39">
      <c r="AA75" s="27"/>
      <c r="AM75"/>
    </row>
    <row r="76" spans="27:39">
      <c r="AA76" s="27"/>
      <c r="AM76"/>
    </row>
    <row r="77" spans="27:39">
      <c r="AA77" s="27"/>
      <c r="AM77"/>
    </row>
    <row r="78" spans="27:39">
      <c r="AA78" s="27"/>
      <c r="AM78"/>
    </row>
    <row r="79" spans="27:39">
      <c r="AA79" s="27"/>
      <c r="AM79"/>
    </row>
    <row r="80" spans="27:39">
      <c r="AA80" s="27"/>
      <c r="AM80"/>
    </row>
    <row r="81" spans="27:39">
      <c r="AA81" s="27"/>
      <c r="AM81"/>
    </row>
    <row r="82" spans="27:39">
      <c r="AA82" s="27"/>
      <c r="AM82"/>
    </row>
    <row r="83" spans="27:39">
      <c r="AA83" s="27"/>
      <c r="AM83"/>
    </row>
    <row r="84" spans="27:39">
      <c r="AA84" s="27"/>
      <c r="AM84"/>
    </row>
    <row r="85" spans="27:39">
      <c r="AA85" s="27"/>
      <c r="AM85"/>
    </row>
    <row r="86" spans="27:39">
      <c r="AA86" s="27"/>
      <c r="AM86"/>
    </row>
    <row r="87" spans="27:39">
      <c r="AA87" s="27"/>
      <c r="AM87"/>
    </row>
    <row r="88" spans="27:39">
      <c r="AA88" s="27"/>
      <c r="AM88"/>
    </row>
    <row r="89" spans="27:39">
      <c r="AA89" s="27"/>
      <c r="AM89"/>
    </row>
    <row r="90" spans="27:39">
      <c r="AA90" s="27"/>
      <c r="AM90"/>
    </row>
    <row r="91" spans="27:39">
      <c r="AA91" s="27"/>
      <c r="AM91"/>
    </row>
    <row r="92" spans="27:39">
      <c r="AA92" s="27"/>
      <c r="AM92"/>
    </row>
    <row r="93" spans="27:39">
      <c r="AA93" s="27"/>
      <c r="AM93"/>
    </row>
    <row r="94" spans="27:39">
      <c r="AA94" s="27"/>
      <c r="AM94"/>
    </row>
    <row r="95" spans="27:39">
      <c r="AA95" s="27"/>
      <c r="AM95"/>
    </row>
    <row r="96" spans="27:39">
      <c r="AA96" s="27"/>
      <c r="AM96"/>
    </row>
    <row r="97" spans="27:39">
      <c r="AA97" s="27"/>
      <c r="AM97"/>
    </row>
    <row r="98" spans="27:39">
      <c r="AA98" s="27"/>
      <c r="AM98"/>
    </row>
    <row r="99" spans="27:39">
      <c r="AA99" s="27"/>
      <c r="AM99"/>
    </row>
    <row r="100" spans="27:39">
      <c r="AA100" s="27"/>
      <c r="AM100"/>
    </row>
    <row r="101" spans="27:39">
      <c r="AA101" s="27"/>
      <c r="AM101"/>
    </row>
    <row r="102" spans="27:39">
      <c r="AA102" s="27"/>
      <c r="AM102"/>
    </row>
    <row r="103" spans="27:39">
      <c r="AA103" s="27"/>
      <c r="AM103"/>
    </row>
    <row r="104" spans="27:39">
      <c r="AA104" s="27"/>
      <c r="AM104"/>
    </row>
    <row r="105" spans="27:39">
      <c r="AA105" s="27"/>
      <c r="AM105"/>
    </row>
    <row r="106" spans="27:39">
      <c r="AA106" s="27"/>
      <c r="AM106"/>
    </row>
    <row r="107" spans="27:39">
      <c r="AA107" s="27"/>
      <c r="AM107"/>
    </row>
    <row r="108" spans="27:39">
      <c r="AA108" s="27"/>
      <c r="AM108"/>
    </row>
    <row r="109" spans="27:39">
      <c r="AA109" s="27"/>
      <c r="AM109"/>
    </row>
    <row r="110" spans="27:39">
      <c r="AA110" s="27"/>
      <c r="AM110"/>
    </row>
    <row r="111" spans="27:39">
      <c r="AA111" s="27"/>
      <c r="AM111"/>
    </row>
    <row r="112" spans="27:39">
      <c r="AA112" s="27"/>
      <c r="AM112"/>
    </row>
    <row r="113" spans="27:39">
      <c r="AA113" s="27"/>
      <c r="AM113"/>
    </row>
    <row r="114" spans="27:39">
      <c r="AA114" s="27"/>
      <c r="AM114"/>
    </row>
    <row r="115" spans="27:39">
      <c r="AA115" s="27"/>
      <c r="AM115"/>
    </row>
    <row r="116" spans="27:39">
      <c r="AA116" s="27"/>
      <c r="AM116"/>
    </row>
    <row r="117" spans="27:39">
      <c r="AA117" s="27"/>
      <c r="AM117"/>
    </row>
    <row r="118" spans="27:39">
      <c r="AA118" s="27"/>
      <c r="AM118"/>
    </row>
    <row r="119" spans="27:39">
      <c r="AA119" s="27"/>
      <c r="AM119"/>
    </row>
    <row r="120" spans="27:39">
      <c r="AA120" s="27"/>
      <c r="AM120"/>
    </row>
    <row r="121" spans="27:39">
      <c r="AA121" s="27"/>
      <c r="AM121"/>
    </row>
    <row r="122" spans="27:39">
      <c r="AA122" s="27"/>
      <c r="AM122"/>
    </row>
    <row r="123" spans="27:39">
      <c r="AA123" s="27"/>
      <c r="AM123"/>
    </row>
    <row r="124" spans="27:39">
      <c r="AA124" s="27"/>
      <c r="AM124"/>
    </row>
    <row r="125" spans="27:39">
      <c r="AA125" s="27"/>
      <c r="AM125"/>
    </row>
    <row r="126" spans="27:39">
      <c r="AA126" s="27"/>
      <c r="AM126"/>
    </row>
    <row r="127" spans="27:39">
      <c r="AA127" s="27"/>
      <c r="AM127"/>
    </row>
    <row r="128" spans="27:39">
      <c r="AA128" s="27"/>
      <c r="AM128"/>
    </row>
    <row r="129" spans="27:39">
      <c r="AA129" s="27"/>
      <c r="AM129"/>
    </row>
    <row r="130" spans="27:39">
      <c r="AA130" s="27"/>
      <c r="AM130"/>
    </row>
    <row r="131" spans="27:39">
      <c r="AA131" s="27"/>
      <c r="AM131"/>
    </row>
    <row r="132" spans="27:39">
      <c r="AA132" s="27"/>
      <c r="AM132"/>
    </row>
    <row r="133" spans="27:39">
      <c r="AA133" s="27"/>
      <c r="AM133"/>
    </row>
    <row r="134" spans="27:39">
      <c r="AA134" s="27"/>
      <c r="AM134"/>
    </row>
    <row r="135" spans="27:39">
      <c r="AA135" s="27"/>
      <c r="AM135"/>
    </row>
    <row r="136" spans="27:39">
      <c r="AA136" s="27"/>
      <c r="AM136"/>
    </row>
    <row r="137" spans="27:39">
      <c r="AA137" s="27"/>
      <c r="AM137"/>
    </row>
    <row r="138" spans="27:39">
      <c r="AA138" s="27"/>
      <c r="AM138"/>
    </row>
    <row r="139" spans="27:39">
      <c r="AA139" s="27"/>
      <c r="AM139"/>
    </row>
    <row r="140" spans="27:39">
      <c r="AA140" s="27"/>
      <c r="AM140"/>
    </row>
    <row r="141" spans="27:39">
      <c r="AA141" s="27"/>
      <c r="AM141"/>
    </row>
    <row r="142" spans="27:39">
      <c r="AA142" s="27"/>
      <c r="AM142"/>
    </row>
    <row r="143" spans="27:39">
      <c r="AA143" s="27"/>
      <c r="AM143"/>
    </row>
    <row r="144" spans="27:39">
      <c r="AA144" s="27"/>
      <c r="AM144"/>
    </row>
    <row r="145" spans="27:39">
      <c r="AA145" s="27"/>
      <c r="AM145"/>
    </row>
    <row r="146" spans="27:39">
      <c r="AA146" s="27"/>
      <c r="AM146"/>
    </row>
    <row r="147" spans="27:39">
      <c r="AA147" s="27"/>
      <c r="AM147"/>
    </row>
    <row r="148" spans="27:39">
      <c r="AA148" s="27"/>
      <c r="AM148"/>
    </row>
    <row r="149" spans="27:39">
      <c r="AA149" s="27"/>
      <c r="AM149"/>
    </row>
    <row r="150" spans="27:39">
      <c r="AA150" s="27"/>
      <c r="AM150"/>
    </row>
    <row r="151" spans="27:39">
      <c r="AA151" s="27"/>
      <c r="AM151"/>
    </row>
    <row r="152" spans="27:39">
      <c r="AA152" s="27"/>
      <c r="AM152"/>
    </row>
    <row r="153" spans="27:39">
      <c r="AA153" s="27"/>
      <c r="AM153"/>
    </row>
    <row r="154" spans="27:39">
      <c r="AA154" s="27"/>
      <c r="AM154"/>
    </row>
    <row r="155" spans="27:39">
      <c r="AA155" s="27"/>
      <c r="AM155"/>
    </row>
    <row r="156" spans="27:39">
      <c r="AA156" s="27"/>
      <c r="AM156"/>
    </row>
    <row r="157" spans="27:39">
      <c r="AA157" s="27"/>
      <c r="AM157"/>
    </row>
    <row r="158" spans="27:39">
      <c r="AA158" s="27"/>
      <c r="AM158"/>
    </row>
    <row r="159" spans="27:39">
      <c r="AA159" s="27"/>
      <c r="AM159"/>
    </row>
    <row r="160" spans="27:39">
      <c r="AA160" s="27"/>
      <c r="AM160"/>
    </row>
    <row r="161" spans="27:39">
      <c r="AA161" s="27"/>
      <c r="AM161"/>
    </row>
    <row r="162" spans="27:39">
      <c r="AA162" s="27"/>
      <c r="AM162"/>
    </row>
    <row r="163" spans="27:39">
      <c r="AA163" s="27"/>
      <c r="AM163"/>
    </row>
    <row r="164" spans="27:39">
      <c r="AA164" s="27"/>
      <c r="AM164"/>
    </row>
    <row r="165" spans="27:39">
      <c r="AA165" s="27"/>
      <c r="AM165"/>
    </row>
    <row r="166" spans="27:39">
      <c r="AA166" s="27"/>
      <c r="AM166"/>
    </row>
    <row r="167" spans="27:39">
      <c r="AA167" s="27"/>
      <c r="AM167"/>
    </row>
    <row r="168" spans="27:39">
      <c r="AA168" s="27"/>
      <c r="AM168"/>
    </row>
    <row r="169" spans="27:39">
      <c r="AA169" s="27"/>
      <c r="AM169"/>
    </row>
    <row r="170" spans="27:39">
      <c r="AA170" s="27"/>
      <c r="AM170"/>
    </row>
    <row r="171" spans="27:39">
      <c r="AA171" s="27"/>
      <c r="AM171"/>
    </row>
    <row r="172" spans="27:39">
      <c r="AA172" s="27"/>
      <c r="AM172"/>
    </row>
    <row r="173" spans="27:39">
      <c r="AA173" s="27"/>
      <c r="AM173"/>
    </row>
    <row r="174" spans="27:39">
      <c r="AA174" s="27"/>
      <c r="AM174"/>
    </row>
    <row r="175" spans="27:39">
      <c r="AA175" s="27"/>
      <c r="AM175"/>
    </row>
    <row r="176" spans="27:39">
      <c r="AA176" s="27"/>
      <c r="AM176"/>
    </row>
    <row r="177" spans="27:39">
      <c r="AA177" s="27"/>
      <c r="AM177"/>
    </row>
    <row r="178" spans="27:39">
      <c r="AA178" s="27"/>
      <c r="AM178"/>
    </row>
    <row r="179" spans="27:39">
      <c r="AA179" s="27"/>
      <c r="AM179"/>
    </row>
    <row r="180" spans="27:39">
      <c r="AA180" s="27"/>
      <c r="AM180"/>
    </row>
    <row r="181" spans="27:39">
      <c r="AA181" s="27"/>
      <c r="AM181"/>
    </row>
    <row r="182" spans="27:39">
      <c r="AA182" s="27"/>
      <c r="AM182"/>
    </row>
    <row r="183" spans="27:39">
      <c r="AA183" s="27"/>
      <c r="AM183"/>
    </row>
    <row r="184" spans="27:39">
      <c r="AA184" s="27"/>
      <c r="AM184"/>
    </row>
    <row r="185" spans="27:39">
      <c r="AA185" s="27"/>
      <c r="AM185"/>
    </row>
    <row r="186" spans="27:39">
      <c r="AA186" s="27"/>
      <c r="AM186"/>
    </row>
    <row r="187" spans="27:39">
      <c r="AA187" s="27"/>
      <c r="AM187"/>
    </row>
    <row r="188" spans="27:39">
      <c r="AA188" s="27"/>
      <c r="AM188"/>
    </row>
    <row r="189" spans="27:39">
      <c r="AA189" s="27"/>
      <c r="AM189"/>
    </row>
    <row r="190" spans="27:39">
      <c r="AA190" s="27"/>
      <c r="AM190"/>
    </row>
    <row r="191" spans="27:39">
      <c r="AA191" s="27"/>
      <c r="AM191"/>
    </row>
    <row r="192" spans="27:39">
      <c r="AA192" s="27"/>
      <c r="AM192"/>
    </row>
    <row r="193" spans="27:39">
      <c r="AA193" s="27"/>
      <c r="AM193"/>
    </row>
    <row r="194" spans="27:39">
      <c r="AA194" s="27"/>
      <c r="AM194"/>
    </row>
    <row r="195" spans="27:39">
      <c r="AA195" s="27"/>
      <c r="AM195"/>
    </row>
    <row r="196" spans="27:39">
      <c r="AA196" s="27"/>
      <c r="AM196"/>
    </row>
    <row r="197" spans="27:39">
      <c r="AA197" s="27"/>
      <c r="AM197"/>
    </row>
    <row r="198" spans="27:39">
      <c r="AA198" s="27"/>
      <c r="AM198"/>
    </row>
    <row r="199" spans="27:39">
      <c r="AA199" s="27"/>
      <c r="AM199"/>
    </row>
    <row r="200" spans="27:39">
      <c r="AA200" s="27"/>
      <c r="AM200"/>
    </row>
    <row r="201" spans="27:39">
      <c r="AA201" s="27"/>
      <c r="AM201"/>
    </row>
    <row r="202" spans="27:39">
      <c r="AA202" s="27"/>
      <c r="AM202"/>
    </row>
    <row r="203" spans="27:39">
      <c r="AA203" s="27"/>
      <c r="AM203"/>
    </row>
    <row r="204" spans="27:39">
      <c r="AA204" s="27"/>
      <c r="AM204"/>
    </row>
    <row r="205" spans="27:39">
      <c r="AA205" s="27"/>
      <c r="AM205"/>
    </row>
    <row r="206" spans="27:39">
      <c r="AA206" s="27"/>
      <c r="AM206"/>
    </row>
    <row r="207" spans="27:39">
      <c r="AA207" s="27"/>
      <c r="AM207"/>
    </row>
    <row r="208" spans="27:39">
      <c r="AA208" s="27"/>
      <c r="AM208"/>
    </row>
    <row r="209" spans="27:39">
      <c r="AA209" s="27"/>
      <c r="AM209"/>
    </row>
    <row r="210" spans="27:39">
      <c r="AA210" s="27"/>
      <c r="AM210"/>
    </row>
    <row r="211" spans="27:39">
      <c r="AA211" s="27"/>
      <c r="AM211"/>
    </row>
  </sheetData>
  <phoneticPr fontId="2" type="noConversion"/>
  <hyperlinks>
    <hyperlink ref="A1" location="Index!A1" display="Return to Index" xr:uid="{00000000-0004-0000-2300-000000000000}"/>
    <hyperlink ref="A28" location="'Educational attainment'!A1" display="Educational attainment of the adult population" xr:uid="{00000000-0004-0000-2300-000001000000}"/>
    <hyperlink ref="A34" location="'Perceptions of safety'!A1" display="Perceptions of safety" xr:uid="{00000000-0004-0000-2300-000002000000}"/>
    <hyperlink ref="A26" location="Crime!A1" display="Crime" xr:uid="{00000000-0004-0000-2300-000003000000}"/>
    <hyperlink ref="A31" location="'Life expectancy'!A1" display="Life expectancy at birth" xr:uid="{00000000-0004-0000-2300-000004000000}"/>
    <hyperlink ref="A33" location="'Perceived health'!A1" display="Perceived health" xr:uid="{00000000-0004-0000-2300-000005000000}"/>
    <hyperlink ref="A32" location="'Life satisfaction'!A1" display="Life satisfaction" xr:uid="{00000000-0004-0000-2300-000006000000}"/>
    <hyperlink ref="A38" location="'Social connectedness'!A1" display="Social connectedness" xr:uid="{00000000-0004-0000-2300-000007000000}"/>
    <hyperlink ref="A25" location="'Community pride'!A1" display="Community pride" xr:uid="{00000000-0004-0000-2300-000008000000}"/>
    <hyperlink ref="A35" location="'Physical activity'!A1" display="Physical activity" xr:uid="{00000000-0004-0000-2300-000009000000}"/>
    <hyperlink ref="A27" location="'Cultural respect'!A1" display="Cultural respect" xr:uid="{00000000-0004-0000-2300-00000A000000}"/>
    <hyperlink ref="A39" location="'Te Reo Māori speakers'!A1" display="Te Reo Māori speakers" xr:uid="{00000000-0004-0000-2300-00000B000000}"/>
    <hyperlink ref="A22" location="'Regional GDP'!A1" display="Regional GDP" xr:uid="{00000000-0004-0000-2300-00000C000000}"/>
    <hyperlink ref="A21" location="Income!A1" display="Income" xr:uid="{00000000-0004-0000-2300-00000D000000}"/>
    <hyperlink ref="A30" location="'Income inequality'!A1" display="Income inequality" xr:uid="{00000000-0004-0000-2300-00000E000000}"/>
    <hyperlink ref="A19" location="'Building activity'!A1" display="Building activity" xr:uid="{00000000-0004-0000-2300-00000F000000}"/>
    <hyperlink ref="A36" location="'Public transport use'!A1" display="Public transport" xr:uid="{00000000-0004-0000-2300-000010000000}"/>
    <hyperlink ref="A23" location="'Water use'!A1" display="Water use" xr:uid="{00000000-0004-0000-2300-000011000000}"/>
    <hyperlink ref="A43" location="'Environmental attitudes'!A1" display="Environmental attitudes" xr:uid="{00000000-0004-0000-2300-000012000000}"/>
    <hyperlink ref="A48" location="'River water quality'!A1" display="River water quality for ecological health" xr:uid="{00000000-0004-0000-2300-000013000000}"/>
    <hyperlink ref="A49" location="'Soil quality'!A1" display="Soil quality" xr:uid="{00000000-0004-0000-2300-000014000000}"/>
    <hyperlink ref="A47" location="'Rural subdivision'!A1" display="Rural subdivision" xr:uid="{00000000-0004-0000-2300-000015000000}"/>
    <hyperlink ref="A41" location="'Air quality'!A1" display="Air quality" xr:uid="{00000000-0004-0000-2300-000016000000}"/>
    <hyperlink ref="A44" location="'Greenhouse gases'!A1" display="Greenhouse gases" xr:uid="{00000000-0004-0000-2300-000017000000}"/>
    <hyperlink ref="A45" location="'Indigenous vegetation'!A1" display="Indigenous vegetation" xr:uid="{00000000-0004-0000-2300-000018000000}"/>
    <hyperlink ref="A42" location="'Coastal habitats'!A1" display="Coastal habitats" xr:uid="{00000000-0004-0000-2300-000019000000}"/>
    <hyperlink ref="A50" location="Waste!A1" display="Waste" xr:uid="{00000000-0004-0000-2300-00001A000000}"/>
    <hyperlink ref="A46" location="Recycling!A1" display="Recycling" xr:uid="{00000000-0004-0000-2300-00001B000000}"/>
    <hyperlink ref="A40" location="'Voter turnout'!A1" display="Voter turnout in local elections" xr:uid="{00000000-0004-0000-2300-00001C000000}"/>
    <hyperlink ref="A24" location="'Community engagement'!A1" display="Community engagement" xr:uid="{00000000-0004-0000-2300-00001D000000}"/>
    <hyperlink ref="A29" location="'Housing affordability'!A1" display="Housing affordability" xr:uid="{00000000-0004-0000-2300-00001E000000}"/>
    <hyperlink ref="A20" location="Employment!A1" display="Employment" xr:uid="{00000000-0004-0000-2300-00001F000000}"/>
    <hyperlink ref="A37" location="'Road safety'!A1" display="Road safety" xr:uid="{00000000-0004-0000-2300-000020000000}"/>
  </hyperlinks>
  <pageMargins left="0.75" right="0.75" top="1" bottom="1" header="0.5" footer="0.5"/>
  <pageSetup paperSize="9" orientation="portrait" r:id="rId1"/>
  <headerFooter alignWithMargins="0"/>
  <ignoredErrors>
    <ignoredError sqref="N40 F43:G43 B39:F39 B36:D36"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1E34-0AD0-4F3A-9213-F6B9E4DA79B1}">
  <sheetPr>
    <pageSetUpPr fitToPage="1"/>
  </sheetPr>
  <dimension ref="B1:H29"/>
  <sheetViews>
    <sheetView workbookViewId="0"/>
  </sheetViews>
  <sheetFormatPr defaultColWidth="9.1328125" defaultRowHeight="12.75"/>
  <cols>
    <col min="1" max="1" width="3.46484375" style="107" customWidth="1"/>
    <col min="2" max="2" width="45.19921875" style="107" customWidth="1"/>
    <col min="3" max="3" width="42.6640625" style="107" customWidth="1"/>
    <col min="4" max="4" width="5.1328125" style="107" customWidth="1"/>
    <col min="5" max="6" width="43.33203125" style="107" customWidth="1"/>
    <col min="7" max="7" width="5.46484375" style="107" customWidth="1"/>
    <col min="8" max="8" width="20.6640625" style="107" customWidth="1"/>
    <col min="9" max="9" width="2.86328125" style="107" customWidth="1"/>
    <col min="10" max="16384" width="9.1328125" style="107"/>
  </cols>
  <sheetData>
    <row r="1" spans="2:8">
      <c r="B1" s="162" t="s">
        <v>106</v>
      </c>
      <c r="C1" s="106"/>
      <c r="D1" s="106"/>
    </row>
    <row r="3" spans="2:8" ht="17.649999999999999">
      <c r="B3" s="108" t="s">
        <v>349</v>
      </c>
      <c r="C3" s="108"/>
      <c r="D3" s="108"/>
      <c r="E3" s="166"/>
    </row>
    <row r="5" spans="2:8">
      <c r="B5" s="200" t="s">
        <v>519</v>
      </c>
      <c r="C5" s="200"/>
      <c r="D5" s="200"/>
    </row>
    <row r="8" spans="2:8" ht="89.25">
      <c r="B8" s="152" t="s">
        <v>538</v>
      </c>
      <c r="C8" s="152"/>
      <c r="D8" s="152"/>
      <c r="E8" s="152"/>
      <c r="F8" s="211" t="s">
        <v>91</v>
      </c>
      <c r="G8" s="211"/>
    </row>
    <row r="9" spans="2:8" ht="34.5">
      <c r="B9" s="153" t="s">
        <v>427</v>
      </c>
      <c r="C9" s="153"/>
      <c r="D9" s="153"/>
      <c r="E9" s="153"/>
      <c r="F9" s="212" t="s">
        <v>428</v>
      </c>
      <c r="G9" s="212"/>
    </row>
    <row r="10" spans="2:8">
      <c r="B10" s="149"/>
      <c r="C10" s="149"/>
      <c r="D10" s="149"/>
      <c r="E10" s="149"/>
      <c r="F10" s="213" t="s">
        <v>429</v>
      </c>
      <c r="G10" s="213"/>
    </row>
    <row r="11" spans="2:8" ht="60.6" customHeight="1">
      <c r="B11" s="220" t="s">
        <v>517</v>
      </c>
      <c r="C11" s="220"/>
      <c r="D11" s="220"/>
      <c r="E11" s="220"/>
      <c r="F11" s="220"/>
      <c r="G11" s="154"/>
      <c r="H11" s="154"/>
    </row>
    <row r="12" spans="2:8" ht="12.6" customHeight="1">
      <c r="B12" s="218"/>
      <c r="C12" s="218"/>
      <c r="D12" s="218"/>
      <c r="E12" s="218"/>
      <c r="F12" s="218"/>
      <c r="G12" s="218"/>
    </row>
    <row r="13" spans="2:8" ht="363" customHeight="1">
      <c r="B13" s="151"/>
      <c r="C13" s="151"/>
      <c r="D13" s="151"/>
      <c r="E13" s="218" t="s">
        <v>544</v>
      </c>
      <c r="F13" s="218"/>
      <c r="G13" s="151"/>
    </row>
    <row r="14" spans="2:8" ht="21.6" customHeight="1">
      <c r="F14" s="151"/>
      <c r="G14" s="151"/>
    </row>
    <row r="15" spans="2:8" ht="363" customHeight="1">
      <c r="B15" s="151"/>
      <c r="C15" s="151"/>
      <c r="D15" s="151"/>
      <c r="E15" s="218" t="s">
        <v>545</v>
      </c>
      <c r="F15" s="218"/>
      <c r="G15" s="151"/>
    </row>
    <row r="17" spans="2:7" ht="391.8" customHeight="1">
      <c r="B17" s="151"/>
      <c r="C17" s="151"/>
      <c r="D17" s="151"/>
      <c r="E17" s="219" t="s">
        <v>540</v>
      </c>
      <c r="F17" s="219"/>
      <c r="G17" s="151"/>
    </row>
    <row r="29" spans="2:7" ht="409.6" customHeight="1">
      <c r="D29" s="151"/>
      <c r="G29" s="151"/>
    </row>
  </sheetData>
  <mergeCells count="8">
    <mergeCell ref="E13:F13"/>
    <mergeCell ref="E15:F15"/>
    <mergeCell ref="E17:F17"/>
    <mergeCell ref="B12:G12"/>
    <mergeCell ref="F8:G8"/>
    <mergeCell ref="F9:G9"/>
    <mergeCell ref="F10:G10"/>
    <mergeCell ref="B11:F11"/>
  </mergeCells>
  <hyperlinks>
    <hyperlink ref="B1" location="Index!A1" display="Return to Index" xr:uid="{B85A8D2A-393C-4F78-BA38-A433C94BE6C2}"/>
  </hyperlinks>
  <pageMargins left="0.7" right="0.7" top="0.75" bottom="0.75" header="0.3" footer="0.3"/>
  <pageSetup scale="49" fitToHeight="0" orientation="portrait" r:id="rId1"/>
  <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R49"/>
  <sheetViews>
    <sheetView workbookViewId="0"/>
  </sheetViews>
  <sheetFormatPr defaultRowHeight="12.75"/>
  <cols>
    <col min="1" max="1" width="25.1328125" customWidth="1"/>
    <col min="2" max="4" width="11.86328125" customWidth="1"/>
    <col min="5" max="5" width="21.6640625" customWidth="1"/>
    <col min="9" max="9" width="11.86328125" customWidth="1"/>
  </cols>
  <sheetData>
    <row r="1" spans="1:18">
      <c r="A1" s="1" t="s">
        <v>106</v>
      </c>
    </row>
    <row r="3" spans="1:18" ht="17.649999999999999">
      <c r="A3" s="83" t="s">
        <v>8</v>
      </c>
    </row>
    <row r="4" spans="1:18" ht="13.15">
      <c r="A4" s="2"/>
    </row>
    <row r="5" spans="1:18" ht="13.15">
      <c r="A5" s="38" t="s">
        <v>141</v>
      </c>
      <c r="B5" s="39"/>
      <c r="C5" s="39"/>
      <c r="D5" s="39"/>
      <c r="E5" s="39"/>
      <c r="F5" s="39"/>
      <c r="G5" s="39"/>
      <c r="H5" s="39"/>
      <c r="I5" s="39"/>
      <c r="M5" s="21"/>
      <c r="N5" s="21"/>
      <c r="O5" s="21"/>
      <c r="P5" s="21"/>
      <c r="Q5" s="21"/>
      <c r="R5" s="21"/>
    </row>
    <row r="6" spans="1:18" ht="13.15">
      <c r="A6" s="44" t="s">
        <v>142</v>
      </c>
      <c r="B6" s="45"/>
      <c r="C6" s="45"/>
      <c r="D6" s="45"/>
      <c r="E6" s="45"/>
      <c r="F6" s="45"/>
      <c r="G6" s="45"/>
      <c r="H6" s="45"/>
      <c r="I6" s="45"/>
      <c r="M6" s="27"/>
      <c r="N6" s="27"/>
      <c r="O6" s="27"/>
      <c r="P6" s="27"/>
      <c r="Q6" s="27"/>
      <c r="R6" s="27"/>
    </row>
    <row r="8" spans="1:18" ht="13.15">
      <c r="A8" s="2" t="s">
        <v>7</v>
      </c>
    </row>
    <row r="9" spans="1:18">
      <c r="A9" s="14" t="s">
        <v>369</v>
      </c>
    </row>
    <row r="10" spans="1:18">
      <c r="A10" s="1" t="s">
        <v>45</v>
      </c>
    </row>
    <row r="12" spans="1:18" ht="13.15">
      <c r="A12" s="2" t="s">
        <v>9</v>
      </c>
    </row>
    <row r="13" spans="1:18">
      <c r="L13" s="94" t="s">
        <v>228</v>
      </c>
      <c r="M13" s="94" t="s">
        <v>229</v>
      </c>
      <c r="N13" s="94" t="s">
        <v>230</v>
      </c>
    </row>
    <row r="14" spans="1:18" ht="13.15">
      <c r="A14" s="2" t="s">
        <v>132</v>
      </c>
      <c r="B14" s="12" t="s">
        <v>28</v>
      </c>
      <c r="C14" s="12" t="s">
        <v>12</v>
      </c>
      <c r="D14" s="12" t="s">
        <v>227</v>
      </c>
      <c r="E14" s="2" t="s">
        <v>226</v>
      </c>
      <c r="F14" s="2" t="s">
        <v>27</v>
      </c>
      <c r="I14" s="2" t="s">
        <v>57</v>
      </c>
      <c r="J14" s="2" t="s">
        <v>26</v>
      </c>
      <c r="L14" s="2" t="s">
        <v>225</v>
      </c>
      <c r="O14" s="2" t="s">
        <v>461</v>
      </c>
      <c r="P14" s="2"/>
    </row>
    <row r="15" spans="1:18" ht="13.15">
      <c r="A15" s="177" t="s">
        <v>32</v>
      </c>
      <c r="B15" s="158"/>
      <c r="C15" s="159"/>
      <c r="D15" s="93"/>
      <c r="E15" s="10"/>
      <c r="F15" s="10"/>
      <c r="I15" s="159"/>
      <c r="J15" s="10"/>
      <c r="L15" s="67" t="s">
        <v>58</v>
      </c>
      <c r="M15" s="62" t="s">
        <v>59</v>
      </c>
      <c r="N15" s="62" t="s">
        <v>60</v>
      </c>
      <c r="O15">
        <v>1</v>
      </c>
      <c r="P15" s="2" t="s">
        <v>32</v>
      </c>
    </row>
    <row r="16" spans="1:18">
      <c r="A16" s="178" t="s">
        <v>40</v>
      </c>
      <c r="B16" s="9">
        <f>+'WPI time series'!H19</f>
        <v>4189.9326081078243</v>
      </c>
      <c r="C16" s="9">
        <f>+'WPI time series'!X19</f>
        <v>4326.9483027171837</v>
      </c>
      <c r="D16" s="93" t="str">
        <f>+IF(E16="improving trend by",M$13,IF(E16="worsening trend by",L$13,N$13))</f>
        <v>§</v>
      </c>
      <c r="E16" s="10" t="str">
        <f>IF(J16&lt;M16,"worsening trend by",IF(J16&gt;N16,"improving trend by","no significant change"))</f>
        <v>no significant change</v>
      </c>
      <c r="F16" s="10">
        <f>+ABS(J16)</f>
        <v>3.2701169069933034E-2</v>
      </c>
      <c r="I16" s="31" t="s">
        <v>115</v>
      </c>
      <c r="J16" s="10">
        <f>+C16/B16-1</f>
        <v>3.2701169069933034E-2</v>
      </c>
      <c r="L16" s="9">
        <v>200</v>
      </c>
      <c r="M16" s="10">
        <f>-L16/C16</f>
        <v>-4.622195275002626E-2</v>
      </c>
      <c r="N16" s="10">
        <f>+L16/C16</f>
        <v>4.622195275002626E-2</v>
      </c>
      <c r="O16">
        <v>2</v>
      </c>
      <c r="P16" t="s">
        <v>40</v>
      </c>
    </row>
    <row r="17" spans="1:16">
      <c r="A17" s="178" t="s">
        <v>160</v>
      </c>
      <c r="B17" s="10">
        <f>+'WPI time series'!H20</f>
        <v>0.67099999999999993</v>
      </c>
      <c r="C17" s="10">
        <f>+'WPI time series'!X20</f>
        <v>0.66400000000000003</v>
      </c>
      <c r="D17" s="93" t="str">
        <f>+IF(E17="improving trend by",M$13,IF(E17="worsening trend by",L$13,N$13))</f>
        <v>§</v>
      </c>
      <c r="E17" s="10" t="str">
        <f>IF(J17&lt;M17,"worsening trend by",IF(J17&gt;N17,"improving trend by","no significant change"))</f>
        <v>no significant change</v>
      </c>
      <c r="F17" s="10">
        <f>+ABS(J17)</f>
        <v>1.0432190760059412E-2</v>
      </c>
      <c r="I17" s="31" t="s">
        <v>115</v>
      </c>
      <c r="J17" s="10">
        <f>+C17/B17-1</f>
        <v>-1.0432190760059412E-2</v>
      </c>
      <c r="L17" s="10">
        <v>0.03</v>
      </c>
      <c r="M17" s="10">
        <f>-L17</f>
        <v>-0.03</v>
      </c>
      <c r="N17" s="10">
        <f>+L17</f>
        <v>0.03</v>
      </c>
      <c r="O17">
        <v>3</v>
      </c>
      <c r="P17" t="s">
        <v>160</v>
      </c>
    </row>
    <row r="18" spans="1:16">
      <c r="A18" s="178" t="s">
        <v>38</v>
      </c>
      <c r="B18" s="19">
        <f>+'WPI time series'!H21</f>
        <v>1669.0087058823531</v>
      </c>
      <c r="C18" s="19">
        <f>+'WPI time series'!X21</f>
        <v>2080</v>
      </c>
      <c r="D18" s="93" t="str">
        <f>+IF(E18="improving trend by",M$13,IF(E18="worsening trend by",L$13,N$13))</f>
        <v>é</v>
      </c>
      <c r="E18" s="10" t="str">
        <f>IF(J18&lt;M18,"worsening trend by",IF(J18&gt;N18,"improving trend by","no significant change"))</f>
        <v>improving trend by</v>
      </c>
      <c r="F18" s="10">
        <f>+ABS(J18)</f>
        <v>0.24624874194432</v>
      </c>
      <c r="I18" s="31" t="s">
        <v>115</v>
      </c>
      <c r="J18" s="10">
        <f>+C18/B18-1</f>
        <v>0.24624874194432</v>
      </c>
      <c r="L18" s="66">
        <v>50</v>
      </c>
      <c r="M18" s="10">
        <f>-L18/C18</f>
        <v>-2.403846153846154E-2</v>
      </c>
      <c r="N18" s="10">
        <f>+L18/C18</f>
        <v>2.403846153846154E-2</v>
      </c>
      <c r="O18">
        <v>4</v>
      </c>
      <c r="P18" t="s">
        <v>38</v>
      </c>
    </row>
    <row r="19" spans="1:16">
      <c r="A19" s="178" t="s">
        <v>37</v>
      </c>
      <c r="B19" s="158">
        <f>+'WPI time series'!H22</f>
        <v>57226.034261241963</v>
      </c>
      <c r="C19" s="159">
        <f>+'WPI time series'!X22</f>
        <v>67028</v>
      </c>
      <c r="D19" s="93" t="str">
        <f>+IF(E19="improving trend by",M$13,IF(E19="worsening trend by",L$13,N$13))</f>
        <v>é</v>
      </c>
      <c r="E19" s="10" t="str">
        <f>IF(J19&lt;M19,"worsening trend by",IF(J19&gt;N19,"improving trend by","no significant change"))</f>
        <v>improving trend by</v>
      </c>
      <c r="F19" s="10">
        <f>+ABS(J19)</f>
        <v>0.17128507794216863</v>
      </c>
      <c r="I19" s="31" t="s">
        <v>115</v>
      </c>
      <c r="J19" s="10">
        <f>+C19/B19-1</f>
        <v>0.17128507794216863</v>
      </c>
      <c r="L19" s="66">
        <v>3000</v>
      </c>
      <c r="M19" s="10">
        <v>-0.05</v>
      </c>
      <c r="N19" s="10">
        <v>0.05</v>
      </c>
      <c r="O19">
        <v>5</v>
      </c>
      <c r="P19" t="s">
        <v>37</v>
      </c>
    </row>
    <row r="20" spans="1:16">
      <c r="A20" s="178" t="s">
        <v>71</v>
      </c>
      <c r="B20" s="160">
        <f>+'WPI time series'!H23</f>
        <v>0.67222753854332806</v>
      </c>
      <c r="C20" s="160">
        <f>+'WPI time series'!X23</f>
        <v>0.91164434922335302</v>
      </c>
      <c r="D20" s="93" t="str">
        <f>+IF(E20="improving trend by",M$13,IF(E20="worsening trend by",L$13,N$13))</f>
        <v>ê</v>
      </c>
      <c r="E20" s="10" t="str">
        <f>IF(J20&gt;N20,"worsening trend by",IF(J20&lt;M20,"improving trend by","no significant change"))</f>
        <v>worsening trend by</v>
      </c>
      <c r="F20" s="10">
        <f>+ABS(J20)</f>
        <v>0.35615442235351602</v>
      </c>
      <c r="I20" s="32" t="s">
        <v>114</v>
      </c>
      <c r="J20" s="10">
        <f>+C20/B20-1</f>
        <v>0.35615442235351602</v>
      </c>
      <c r="L20" s="15">
        <v>0.03</v>
      </c>
      <c r="M20" s="10">
        <f>-L20</f>
        <v>-0.03</v>
      </c>
      <c r="N20" s="10">
        <f>+L20</f>
        <v>0.03</v>
      </c>
      <c r="O20">
        <v>6</v>
      </c>
      <c r="P20" t="s">
        <v>71</v>
      </c>
    </row>
    <row r="21" spans="1:16" ht="13.15">
      <c r="A21" s="179" t="s">
        <v>31</v>
      </c>
      <c r="B21" s="10"/>
      <c r="C21" s="10"/>
      <c r="D21" s="93"/>
      <c r="E21" s="10"/>
      <c r="F21" s="10"/>
      <c r="I21" s="10"/>
      <c r="J21" s="10"/>
      <c r="O21">
        <v>7</v>
      </c>
      <c r="P21" s="2" t="s">
        <v>31</v>
      </c>
    </row>
    <row r="22" spans="1:16">
      <c r="A22" s="180" t="s">
        <v>83</v>
      </c>
      <c r="B22" s="15">
        <f>+'WPI time series'!G24</f>
        <v>0.62</v>
      </c>
      <c r="C22" s="15">
        <f>+'WPI time series'!W24</f>
        <v>0.31</v>
      </c>
      <c r="D22" s="93" t="str">
        <f t="shared" ref="D22:D29" si="0">+IF(E22="improving trend by",M$13,IF(E22="worsening trend by",L$13,N$13))</f>
        <v>ê</v>
      </c>
      <c r="E22" s="10" t="str">
        <f>IF(J22&lt;M22,"worsening trend by",IF(J22&gt;N22,"improving trend by","no significant change"))</f>
        <v>worsening trend by</v>
      </c>
      <c r="F22" s="10">
        <f t="shared" ref="F22:F29" si="1">+ABS(J22)</f>
        <v>0.5</v>
      </c>
      <c r="I22" s="31" t="s">
        <v>115</v>
      </c>
      <c r="J22" s="10">
        <f t="shared" ref="J22:J29" si="2">+C22/B22-1</f>
        <v>-0.5</v>
      </c>
      <c r="L22" s="10">
        <v>0.03</v>
      </c>
      <c r="M22" s="10">
        <f>-L22</f>
        <v>-0.03</v>
      </c>
      <c r="N22" s="10">
        <f>+L22</f>
        <v>0.03</v>
      </c>
      <c r="O22">
        <v>8</v>
      </c>
      <c r="P22" t="s">
        <v>83</v>
      </c>
    </row>
    <row r="23" spans="1:16">
      <c r="A23" s="180" t="s">
        <v>34</v>
      </c>
      <c r="B23" s="15">
        <f>+'WPI time series'!G25</f>
        <v>0.7</v>
      </c>
      <c r="C23" s="15">
        <f>+'WPI time series'!W25</f>
        <v>0.64</v>
      </c>
      <c r="D23" s="93" t="str">
        <f t="shared" si="0"/>
        <v>ê</v>
      </c>
      <c r="E23" s="10" t="str">
        <f>IF(J23&lt;M23,"worsening trend by",IF(J23&gt;N23,"improving trend by","no significant change"))</f>
        <v>worsening trend by</v>
      </c>
      <c r="F23" s="10">
        <f t="shared" si="1"/>
        <v>8.5714285714285632E-2</v>
      </c>
      <c r="I23" s="31" t="s">
        <v>115</v>
      </c>
      <c r="J23" s="10">
        <f t="shared" si="2"/>
        <v>-8.5714285714285632E-2</v>
      </c>
      <c r="L23" s="10">
        <v>0.03</v>
      </c>
      <c r="M23" s="10">
        <f>-L23</f>
        <v>-0.03</v>
      </c>
      <c r="N23" s="10">
        <f>+L23</f>
        <v>0.03</v>
      </c>
      <c r="O23">
        <v>9</v>
      </c>
      <c r="P23" t="s">
        <v>34</v>
      </c>
    </row>
    <row r="24" spans="1:16">
      <c r="A24" s="180" t="s">
        <v>14</v>
      </c>
      <c r="B24" s="59">
        <f>+'WPI time series'!H26</f>
        <v>797.90576321659751</v>
      </c>
      <c r="C24" s="59">
        <f>+'WPI time series'!X26</f>
        <v>845.8143837200339</v>
      </c>
      <c r="D24" s="93" t="str">
        <f t="shared" si="0"/>
        <v>ê</v>
      </c>
      <c r="E24" s="10" t="str">
        <f>IF(J24&gt;N24,"worsening trend by",IF(J24&lt;M24,"improving trend by","no significant change"))</f>
        <v>worsening trend by</v>
      </c>
      <c r="F24" s="10">
        <f t="shared" si="1"/>
        <v>6.0042955837669831E-2</v>
      </c>
      <c r="I24" s="32" t="s">
        <v>114</v>
      </c>
      <c r="J24" s="10">
        <f t="shared" si="2"/>
        <v>6.0042955837669831E-2</v>
      </c>
      <c r="L24" s="59">
        <v>50</v>
      </c>
      <c r="M24" s="10">
        <f>-L24/C24</f>
        <v>-5.9114624866145681E-2</v>
      </c>
      <c r="N24" s="10">
        <f>+L24/C24</f>
        <v>5.9114624866145681E-2</v>
      </c>
      <c r="O24">
        <v>10</v>
      </c>
      <c r="P24" t="s">
        <v>14</v>
      </c>
    </row>
    <row r="25" spans="1:16">
      <c r="A25" s="180" t="s">
        <v>39</v>
      </c>
      <c r="B25" s="15">
        <f>+'WPI time series'!G27</f>
        <v>0.51</v>
      </c>
      <c r="C25" s="15">
        <f>+'WPI time series'!W27</f>
        <v>0.39</v>
      </c>
      <c r="D25" s="93" t="str">
        <f t="shared" si="0"/>
        <v>ê</v>
      </c>
      <c r="E25" s="10" t="str">
        <f>IF(J25&lt;M25,"worsening trend by",IF(J25&gt;N25,"improving trend by","no significant change"))</f>
        <v>worsening trend by</v>
      </c>
      <c r="F25" s="10">
        <f t="shared" si="1"/>
        <v>0.23529411764705876</v>
      </c>
      <c r="I25" s="31" t="s">
        <v>115</v>
      </c>
      <c r="J25" s="10">
        <f t="shared" si="2"/>
        <v>-0.23529411764705876</v>
      </c>
      <c r="L25" s="10">
        <v>0.03</v>
      </c>
      <c r="M25" s="10">
        <f>-L25</f>
        <v>-0.03</v>
      </c>
      <c r="N25" s="10">
        <f>+L25</f>
        <v>0.03</v>
      </c>
      <c r="O25">
        <v>11</v>
      </c>
      <c r="P25" t="s">
        <v>39</v>
      </c>
    </row>
    <row r="26" spans="1:16">
      <c r="A26" s="180" t="s">
        <v>68</v>
      </c>
      <c r="B26" s="10">
        <f>+'WPI time series'!G28</f>
        <v>0.6420938235826843</v>
      </c>
      <c r="C26" s="10">
        <f>+'WPI time series'!W28</f>
        <v>0.72199999999999998</v>
      </c>
      <c r="D26" s="93" t="str">
        <f t="shared" si="0"/>
        <v>é</v>
      </c>
      <c r="E26" s="10" t="str">
        <f>IF(J26&lt;M26,"worsening trend by",IF(J26&gt;N26,"improving trend by","no significant change"))</f>
        <v>improving trend by</v>
      </c>
      <c r="F26" s="10">
        <f t="shared" si="1"/>
        <v>0.12444626234132583</v>
      </c>
      <c r="I26" s="31" t="s">
        <v>115</v>
      </c>
      <c r="J26" s="10">
        <f t="shared" si="2"/>
        <v>0.12444626234132583</v>
      </c>
      <c r="L26" s="10">
        <v>0.03</v>
      </c>
      <c r="M26" s="10">
        <f>-L26</f>
        <v>-0.03</v>
      </c>
      <c r="N26" s="10">
        <f>+L26</f>
        <v>0.03</v>
      </c>
      <c r="O26">
        <v>12</v>
      </c>
      <c r="P26" t="s">
        <v>68</v>
      </c>
    </row>
    <row r="27" spans="1:16">
      <c r="A27" s="180" t="s">
        <v>65</v>
      </c>
      <c r="B27" s="10">
        <f>+'WPI time series'!H29</f>
        <v>0.20499999999999999</v>
      </c>
      <c r="C27" s="10">
        <f>+'WPI time series'!X29</f>
        <v>0.223</v>
      </c>
      <c r="D27" s="93" t="str">
        <f t="shared" si="0"/>
        <v>§</v>
      </c>
      <c r="E27" s="10" t="str">
        <f>IF(J27&gt;N27,"worsening trend by",IF(J27&lt;M27,"improving trend by","no significant change"))</f>
        <v>no significant change</v>
      </c>
      <c r="F27" s="10">
        <f t="shared" si="1"/>
        <v>8.7804878048780566E-2</v>
      </c>
      <c r="I27" s="32" t="s">
        <v>114</v>
      </c>
      <c r="J27" s="10">
        <f t="shared" si="2"/>
        <v>8.7804878048780566E-2</v>
      </c>
      <c r="L27" s="10">
        <v>0.15</v>
      </c>
      <c r="M27" s="10">
        <f>-L27</f>
        <v>-0.15</v>
      </c>
      <c r="N27" s="10">
        <f>+L27</f>
        <v>0.15</v>
      </c>
      <c r="O27">
        <v>13</v>
      </c>
      <c r="P27" t="s">
        <v>65</v>
      </c>
    </row>
    <row r="28" spans="1:16">
      <c r="A28" s="180" t="s">
        <v>159</v>
      </c>
      <c r="B28" s="22">
        <f>+'WPI time series'!H30</f>
        <v>0.35107619309999999</v>
      </c>
      <c r="C28" s="22">
        <f>+'WPI time series'!X30</f>
        <v>0.39102622770000001</v>
      </c>
      <c r="D28" s="93" t="str">
        <f t="shared" si="0"/>
        <v>§</v>
      </c>
      <c r="E28" s="10" t="str">
        <f>IF(J28&gt;N28,"worsening trend by",IF(J28&lt;M28,"improving trend by","no significant change"))</f>
        <v>no significant change</v>
      </c>
      <c r="F28" s="10">
        <f t="shared" si="1"/>
        <v>0.11379306083742535</v>
      </c>
      <c r="I28" s="32" t="s">
        <v>114</v>
      </c>
      <c r="J28" s="10">
        <f t="shared" si="2"/>
        <v>0.11379306083742535</v>
      </c>
      <c r="L28" s="10">
        <v>0.15</v>
      </c>
      <c r="M28" s="10">
        <f>-L28</f>
        <v>-0.15</v>
      </c>
      <c r="N28" s="10">
        <f>+L28</f>
        <v>0.15</v>
      </c>
      <c r="O28">
        <v>14</v>
      </c>
      <c r="P28" t="s">
        <v>159</v>
      </c>
    </row>
    <row r="29" spans="1:16">
      <c r="A29" s="180" t="s">
        <v>69</v>
      </c>
      <c r="B29" s="59">
        <f>+'WPI time series'!G31</f>
        <v>79.800000000000011</v>
      </c>
      <c r="C29" s="59">
        <f>'WPI time series'!S31</f>
        <v>81.349999999999994</v>
      </c>
      <c r="D29" s="93" t="str">
        <f t="shared" si="0"/>
        <v>é</v>
      </c>
      <c r="E29" s="10" t="str">
        <f t="shared" ref="E29:E34" si="3">IF(J29&lt;M29,"worsening trend by",IF(J29&gt;N29,"improving trend by","no significant change"))</f>
        <v>improving trend by</v>
      </c>
      <c r="F29" s="10">
        <f t="shared" si="1"/>
        <v>1.9423558897242899E-2</v>
      </c>
      <c r="I29" s="31" t="s">
        <v>115</v>
      </c>
      <c r="J29" s="10">
        <f t="shared" si="2"/>
        <v>1.9423558897242899E-2</v>
      </c>
      <c r="L29" s="59">
        <v>1</v>
      </c>
      <c r="M29" s="10">
        <f>-L29/C29</f>
        <v>-1.2292562999385373E-2</v>
      </c>
      <c r="N29" s="10">
        <f>+L29/C29</f>
        <v>1.2292562999385373E-2</v>
      </c>
      <c r="O29">
        <v>15</v>
      </c>
      <c r="P29" t="s">
        <v>69</v>
      </c>
    </row>
    <row r="30" spans="1:16">
      <c r="A30" s="180" t="s">
        <v>154</v>
      </c>
      <c r="B30" s="15">
        <f>+'WPI time series'!G32</f>
        <v>0.9</v>
      </c>
      <c r="C30" s="15">
        <f>+'WPI time series'!W32</f>
        <v>0.86</v>
      </c>
      <c r="D30" s="93" t="str">
        <f t="shared" ref="D30:D38" si="4">+IF(E30="improving trend by",M$13,IF(E30="worsening trend by",L$13,N$13))</f>
        <v>ê</v>
      </c>
      <c r="E30" s="10" t="str">
        <f t="shared" si="3"/>
        <v>worsening trend by</v>
      </c>
      <c r="F30" s="10">
        <f t="shared" ref="F30:F38" si="5">+ABS(J30)</f>
        <v>4.4444444444444509E-2</v>
      </c>
      <c r="I30" s="31" t="s">
        <v>115</v>
      </c>
      <c r="J30" s="10">
        <f t="shared" ref="J30:J38" si="6">+C30/B30-1</f>
        <v>-4.4444444444444509E-2</v>
      </c>
      <c r="L30" s="10">
        <v>3.2000000000000001E-2</v>
      </c>
      <c r="M30" s="10">
        <f>-L30</f>
        <v>-3.2000000000000001E-2</v>
      </c>
      <c r="N30" s="10">
        <f>+L30</f>
        <v>3.2000000000000001E-2</v>
      </c>
      <c r="O30">
        <v>16</v>
      </c>
      <c r="P30" t="s">
        <v>154</v>
      </c>
    </row>
    <row r="31" spans="1:16">
      <c r="A31" s="180" t="s">
        <v>67</v>
      </c>
      <c r="B31" s="15">
        <f>+'WPI time series'!G33</f>
        <v>0.9</v>
      </c>
      <c r="C31" s="15">
        <f>+'WPI time series'!W33</f>
        <v>0.8</v>
      </c>
      <c r="D31" s="93" t="str">
        <f>+IF(E31="improving trend by",M$13,IF(E31="worsening trend by",L$13,N$13))</f>
        <v>ê</v>
      </c>
      <c r="E31" s="10" t="str">
        <f t="shared" si="3"/>
        <v>worsening trend by</v>
      </c>
      <c r="F31" s="10">
        <f>+ABS(J31)</f>
        <v>0.11111111111111105</v>
      </c>
      <c r="I31" s="31" t="s">
        <v>115</v>
      </c>
      <c r="J31" s="10">
        <f>+C31/B31-1</f>
        <v>-0.11111111111111105</v>
      </c>
      <c r="L31" s="10">
        <v>0.03</v>
      </c>
      <c r="M31" s="10">
        <f>-L31</f>
        <v>-0.03</v>
      </c>
      <c r="N31" s="10">
        <f>+L31</f>
        <v>0.03</v>
      </c>
      <c r="O31">
        <v>17</v>
      </c>
      <c r="P31" t="s">
        <v>67</v>
      </c>
    </row>
    <row r="32" spans="1:16">
      <c r="A32" s="180" t="s">
        <v>111</v>
      </c>
      <c r="B32" s="15">
        <f>+'WPI time series'!G34</f>
        <v>0.6</v>
      </c>
      <c r="C32" s="15">
        <f>+'WPI time series'!W34</f>
        <v>0.63</v>
      </c>
      <c r="D32" s="93" t="str">
        <f t="shared" si="4"/>
        <v>é</v>
      </c>
      <c r="E32" s="10" t="str">
        <f t="shared" si="3"/>
        <v>improving trend by</v>
      </c>
      <c r="F32" s="10">
        <f t="shared" si="5"/>
        <v>5.0000000000000044E-2</v>
      </c>
      <c r="I32" s="31" t="s">
        <v>115</v>
      </c>
      <c r="J32" s="10">
        <f t="shared" si="6"/>
        <v>5.0000000000000044E-2</v>
      </c>
      <c r="L32" s="10">
        <v>0.03</v>
      </c>
      <c r="M32" s="10">
        <f>-L32</f>
        <v>-0.03</v>
      </c>
      <c r="N32" s="10">
        <f>+L32</f>
        <v>0.03</v>
      </c>
      <c r="O32">
        <v>18</v>
      </c>
      <c r="P32" t="s">
        <v>111</v>
      </c>
    </row>
    <row r="33" spans="1:16">
      <c r="A33" s="180" t="s">
        <v>35</v>
      </c>
      <c r="B33" s="15">
        <f>+'WPI time series'!G35</f>
        <v>0.61</v>
      </c>
      <c r="C33" s="15">
        <f>+'WPI time series'!W35</f>
        <v>0.41</v>
      </c>
      <c r="D33" s="93" t="str">
        <f>+IF(E33="improving trend by",M$13,IF(E33="worsening trend by",L$13,N$13))</f>
        <v>ê</v>
      </c>
      <c r="E33" s="10" t="str">
        <f t="shared" si="3"/>
        <v>worsening trend by</v>
      </c>
      <c r="F33" s="10">
        <f>+ABS(J33)</f>
        <v>0.32786885245901642</v>
      </c>
      <c r="I33" s="31" t="s">
        <v>115</v>
      </c>
      <c r="J33" s="10">
        <f>+C33/B33-1</f>
        <v>-0.32786885245901642</v>
      </c>
      <c r="L33" s="10">
        <v>0.03</v>
      </c>
      <c r="M33" s="10">
        <f>-L33</f>
        <v>-0.03</v>
      </c>
      <c r="N33" s="10">
        <f>+L33</f>
        <v>0.03</v>
      </c>
      <c r="O33">
        <v>19</v>
      </c>
      <c r="P33" t="s">
        <v>35</v>
      </c>
    </row>
    <row r="34" spans="1:16">
      <c r="A34" s="180" t="s">
        <v>70</v>
      </c>
      <c r="B34" s="13">
        <f>+'WPI time series'!I36</f>
        <v>9.0886454183266938</v>
      </c>
      <c r="C34" s="13">
        <f>+'WPI time series'!X36</f>
        <v>6.4045905089934942</v>
      </c>
      <c r="D34" s="93" t="str">
        <f>+IF(E34="improving trend by",M$13,IF(E34="worsening trend by",L$13,N$13))</f>
        <v>ê</v>
      </c>
      <c r="E34" s="10" t="str">
        <f t="shared" si="3"/>
        <v>worsening trend by</v>
      </c>
      <c r="F34" s="10">
        <f>+ABS(J34)</f>
        <v>0.2953195757775926</v>
      </c>
      <c r="I34" s="31" t="s">
        <v>115</v>
      </c>
      <c r="J34" s="10">
        <f>+C34/B34-1</f>
        <v>-0.2953195757775926</v>
      </c>
      <c r="L34" s="10">
        <v>0.03</v>
      </c>
      <c r="M34" s="10">
        <f>-L34</f>
        <v>-0.03</v>
      </c>
      <c r="N34" s="10">
        <f>+L34</f>
        <v>0.03</v>
      </c>
      <c r="O34">
        <v>20</v>
      </c>
      <c r="P34" t="s">
        <v>70</v>
      </c>
    </row>
    <row r="35" spans="1:16">
      <c r="A35" s="180" t="s">
        <v>140</v>
      </c>
      <c r="B35" s="19">
        <f>+'WPI time series'!H37</f>
        <v>7933.5514724389632</v>
      </c>
      <c r="C35" s="19">
        <f>+'WPI time series'!X37</f>
        <v>5480.7318022576874</v>
      </c>
      <c r="D35" s="93" t="str">
        <f t="shared" si="4"/>
        <v>é</v>
      </c>
      <c r="E35" s="10" t="str">
        <f>IF(J35&gt;N35,"worsening trend by",IF(J35&lt;M35,"improving trend by","no significant change"))</f>
        <v>improving trend by</v>
      </c>
      <c r="F35" s="10">
        <f t="shared" si="5"/>
        <v>0.30917044890958778</v>
      </c>
      <c r="I35" s="32" t="s">
        <v>114</v>
      </c>
      <c r="J35" s="10">
        <f t="shared" si="6"/>
        <v>-0.30917044890958778</v>
      </c>
      <c r="L35" s="66">
        <v>100</v>
      </c>
      <c r="M35" s="10">
        <f>-L35/C35</f>
        <v>-1.8245738636363636E-2</v>
      </c>
      <c r="N35" s="10">
        <f>+L35/C35</f>
        <v>1.8245738636363636E-2</v>
      </c>
      <c r="O35">
        <v>21</v>
      </c>
      <c r="P35" t="s">
        <v>140</v>
      </c>
    </row>
    <row r="36" spans="1:16">
      <c r="A36" s="180" t="s">
        <v>155</v>
      </c>
      <c r="B36" s="15">
        <f>+'WPI time series'!G38</f>
        <v>0.63</v>
      </c>
      <c r="C36" s="15">
        <f>+'WPI time series'!W38</f>
        <v>0.56999999999999995</v>
      </c>
      <c r="D36" s="93" t="str">
        <f t="shared" si="4"/>
        <v>ê</v>
      </c>
      <c r="E36" s="10" t="str">
        <f t="shared" ref="E36:E38" si="7">IF(J36&lt;M36,"worsening trend by",IF(J36&gt;N36,"improving trend by","no significant change"))</f>
        <v>worsening trend by</v>
      </c>
      <c r="F36" s="10">
        <f t="shared" si="5"/>
        <v>9.5238095238095344E-2</v>
      </c>
      <c r="I36" s="31" t="s">
        <v>115</v>
      </c>
      <c r="J36" s="10">
        <f t="shared" si="6"/>
        <v>-9.5238095238095344E-2</v>
      </c>
      <c r="L36" s="10">
        <v>0.03</v>
      </c>
      <c r="M36" s="10">
        <f t="shared" ref="M36:M38" si="8">-L36</f>
        <v>-0.03</v>
      </c>
      <c r="N36" s="10">
        <f t="shared" ref="N36:N38" si="9">+L36</f>
        <v>0.03</v>
      </c>
      <c r="O36">
        <v>22</v>
      </c>
      <c r="P36" t="s">
        <v>155</v>
      </c>
    </row>
    <row r="37" spans="1:16">
      <c r="A37" s="180" t="s">
        <v>36</v>
      </c>
      <c r="B37" s="10">
        <f>+'WPI time series'!G39</f>
        <v>5.8097856484508596E-2</v>
      </c>
      <c r="C37" s="10">
        <f>+'WPI time series'!S39</f>
        <v>5.9000000000000004E-2</v>
      </c>
      <c r="D37" s="93" t="str">
        <f t="shared" si="4"/>
        <v>§</v>
      </c>
      <c r="E37" s="10" t="str">
        <f t="shared" si="7"/>
        <v>no significant change</v>
      </c>
      <c r="F37" s="10">
        <f t="shared" si="5"/>
        <v>1.552799999999932E-2</v>
      </c>
      <c r="I37" s="31" t="s">
        <v>115</v>
      </c>
      <c r="J37" s="10">
        <f t="shared" si="6"/>
        <v>1.552799999999932E-2</v>
      </c>
      <c r="L37" s="10">
        <v>0.05</v>
      </c>
      <c r="M37" s="10">
        <f t="shared" si="8"/>
        <v>-0.05</v>
      </c>
      <c r="N37" s="10">
        <f t="shared" si="9"/>
        <v>0.05</v>
      </c>
      <c r="O37">
        <v>23</v>
      </c>
      <c r="P37" t="s">
        <v>36</v>
      </c>
    </row>
    <row r="38" spans="1:16">
      <c r="A38" s="180" t="s">
        <v>82</v>
      </c>
      <c r="B38" s="15">
        <f>+'WPI time series'!H40</f>
        <v>0.38609599886010615</v>
      </c>
      <c r="C38" s="15">
        <f>+'WPI time series'!W40</f>
        <v>0.3801842428653176</v>
      </c>
      <c r="D38" s="93" t="str">
        <f t="shared" si="4"/>
        <v>§</v>
      </c>
      <c r="E38" s="10" t="str">
        <f t="shared" si="7"/>
        <v>no significant change</v>
      </c>
      <c r="F38" s="10">
        <f t="shared" si="5"/>
        <v>1.5311622011733306E-2</v>
      </c>
      <c r="I38" s="31" t="s">
        <v>115</v>
      </c>
      <c r="J38" s="10">
        <f t="shared" si="6"/>
        <v>-1.5311622011733306E-2</v>
      </c>
      <c r="L38" s="10">
        <v>0.1</v>
      </c>
      <c r="M38" s="10">
        <f t="shared" si="8"/>
        <v>-0.1</v>
      </c>
      <c r="N38" s="10">
        <f t="shared" si="9"/>
        <v>0.1</v>
      </c>
      <c r="O38">
        <v>24</v>
      </c>
      <c r="P38" t="s">
        <v>82</v>
      </c>
    </row>
    <row r="39" spans="1:16" ht="13.15">
      <c r="A39" s="181" t="s">
        <v>33</v>
      </c>
      <c r="B39" s="61"/>
      <c r="C39" s="61"/>
      <c r="D39" s="93"/>
      <c r="E39" s="10"/>
      <c r="F39" s="10"/>
      <c r="I39" s="61"/>
      <c r="J39" s="10"/>
      <c r="L39" s="10"/>
      <c r="M39" s="10"/>
      <c r="N39" s="10"/>
      <c r="O39">
        <v>25</v>
      </c>
      <c r="P39" s="2" t="s">
        <v>33</v>
      </c>
    </row>
    <row r="40" spans="1:16">
      <c r="A40" s="182" t="s">
        <v>18</v>
      </c>
      <c r="B40" s="14">
        <f>+'WPI time series'!H41</f>
        <v>20</v>
      </c>
      <c r="C40">
        <f>+'WPI time series'!X41</f>
        <v>18</v>
      </c>
      <c r="D40" s="93" t="str">
        <f>+IF(E40="improving trend by",M$13,IF(E40="worsening trend by",L$13,N$13))</f>
        <v>§</v>
      </c>
      <c r="E40" s="10" t="str">
        <f>IF(J40&gt;N40,"worsening trend by",IF(J40&lt;M40,"improving trend by","no significant change"))</f>
        <v>no significant change</v>
      </c>
      <c r="F40" s="10">
        <f>+ABS(J40)</f>
        <v>9.9999999999999978E-2</v>
      </c>
      <c r="I40" s="32" t="s">
        <v>114</v>
      </c>
      <c r="J40" s="10">
        <f>+C40/B40-1</f>
        <v>-9.9999999999999978E-2</v>
      </c>
      <c r="L40" s="15">
        <v>0.1</v>
      </c>
      <c r="M40" s="10">
        <f>-L40</f>
        <v>-0.1</v>
      </c>
      <c r="N40" s="10">
        <f>+L40</f>
        <v>0.1</v>
      </c>
      <c r="O40">
        <v>26</v>
      </c>
      <c r="P40" t="s">
        <v>18</v>
      </c>
    </row>
    <row r="41" spans="1:16">
      <c r="A41" s="183" t="s">
        <v>360</v>
      </c>
      <c r="B41" s="161">
        <f>+'WPI time series'!M42</f>
        <v>0.40307692307692311</v>
      </c>
      <c r="C41" s="161">
        <f>+'WPI time series'!V42</f>
        <v>0.38586419462613525</v>
      </c>
      <c r="D41" s="93" t="str">
        <f>+IF(E41="improving trend by",M$13,IF(E41="worsening trend by",L$13,N$13))</f>
        <v>§</v>
      </c>
      <c r="E41" s="10" t="str">
        <f>IF(J41&lt;M41,"worsening trend by",IF(J41&gt;N41,"improving trend by","no significant change"))</f>
        <v>no significant change</v>
      </c>
      <c r="F41" s="10">
        <f>+ABS(J41)</f>
        <v>4.2703333942794353E-2</v>
      </c>
      <c r="I41" s="31" t="s">
        <v>115</v>
      </c>
      <c r="J41" s="10">
        <f>+C41/B41-1</f>
        <v>-4.2703333942794353E-2</v>
      </c>
      <c r="L41" s="161">
        <v>0.05</v>
      </c>
      <c r="M41" s="10">
        <f>-L41/C41</f>
        <v>-0.12957926829268293</v>
      </c>
      <c r="N41" s="10">
        <f>+L41/C41</f>
        <v>0.12957926829268293</v>
      </c>
      <c r="O41">
        <v>27</v>
      </c>
      <c r="P41" s="14" t="s">
        <v>360</v>
      </c>
    </row>
    <row r="42" spans="1:16">
      <c r="A42" s="182" t="s">
        <v>129</v>
      </c>
      <c r="B42" s="15">
        <f>+'WPI time series'!I43</f>
        <v>0.85499999999999998</v>
      </c>
      <c r="C42" s="15">
        <f>+'WPI time series'!W43</f>
        <v>0.83</v>
      </c>
      <c r="D42" s="93" t="str">
        <f t="shared" ref="D42:D49" si="10">+IF(E42="improving trend by",M$13,IF(E42="worsening trend by",L$13,N$13))</f>
        <v>§</v>
      </c>
      <c r="E42" s="10" t="str">
        <f>IF(J42&lt;M42,"worsening trend by",IF(J42&gt;N42,"improving trend by","no significant change"))</f>
        <v>no significant change</v>
      </c>
      <c r="F42" s="10">
        <f t="shared" ref="F42:F49" si="11">+ABS(J42)</f>
        <v>2.9239766081871399E-2</v>
      </c>
      <c r="I42" s="31" t="s">
        <v>115</v>
      </c>
      <c r="J42" s="10">
        <f t="shared" ref="J42:J49" si="12">+C42/B42-1</f>
        <v>-2.9239766081871399E-2</v>
      </c>
      <c r="L42" s="15">
        <v>0.05</v>
      </c>
      <c r="M42" s="10">
        <f>-L42</f>
        <v>-0.05</v>
      </c>
      <c r="N42" s="10">
        <f>+L42</f>
        <v>0.05</v>
      </c>
      <c r="O42">
        <v>28</v>
      </c>
      <c r="P42" t="s">
        <v>129</v>
      </c>
    </row>
    <row r="43" spans="1:16">
      <c r="A43" s="182" t="s">
        <v>80</v>
      </c>
      <c r="B43" s="59">
        <f>+'WPI time series'!H44</f>
        <v>15.055</v>
      </c>
      <c r="C43" s="59">
        <f>+'WPI time series'!W44</f>
        <v>13.58</v>
      </c>
      <c r="D43" s="93" t="str">
        <f>+IF(E43="improving trend by",M$13,IF(E43="worsening trend by",L$13,N$13))</f>
        <v>§</v>
      </c>
      <c r="E43" s="10" t="str">
        <f>IF(J43&gt;N43,"worsening trend by",IF(J43&lt;M43,"improving trend by","no significant change"))</f>
        <v>no significant change</v>
      </c>
      <c r="F43" s="10">
        <f>+ABS(J43)</f>
        <v>9.7974094985054827E-2</v>
      </c>
      <c r="I43" s="32" t="s">
        <v>114</v>
      </c>
      <c r="J43" s="10">
        <f>+C43/B43-1</f>
        <v>-9.7974094985054827E-2</v>
      </c>
      <c r="L43" s="59">
        <f>+N43*B43</f>
        <v>1.5055000000000001</v>
      </c>
      <c r="M43" s="10">
        <v>-0.1</v>
      </c>
      <c r="N43" s="10">
        <v>0.1</v>
      </c>
      <c r="O43">
        <v>29</v>
      </c>
      <c r="P43" t="s">
        <v>80</v>
      </c>
    </row>
    <row r="44" spans="1:16">
      <c r="A44" s="183" t="s">
        <v>278</v>
      </c>
      <c r="B44" s="10">
        <f>+'WPI time series'!G45</f>
        <v>0.27091084108612729</v>
      </c>
      <c r="C44" s="10">
        <f>+'WPI time series'!S45</f>
        <v>0.27076231996670491</v>
      </c>
      <c r="D44" s="93" t="str">
        <f>+IF(E44="improving trend by",M$13,IF(E44="worsening trend by",L$13,N$13))</f>
        <v>§</v>
      </c>
      <c r="E44" s="10" t="str">
        <f>IF(J44&lt;M44,"worsening trend by",IF(J44&gt;N44,"improving trend by","no significant change"))</f>
        <v>no significant change</v>
      </c>
      <c r="F44" s="10">
        <f>+ABS(J44)</f>
        <v>5.4822877824645122E-4</v>
      </c>
      <c r="I44" s="31" t="s">
        <v>115</v>
      </c>
      <c r="J44" s="10">
        <f>+C44/B44-1</f>
        <v>-5.4822877824645122E-4</v>
      </c>
      <c r="L44" s="10">
        <v>0.01</v>
      </c>
      <c r="M44" s="10">
        <f>-L44</f>
        <v>-0.01</v>
      </c>
      <c r="N44" s="10">
        <f>+L44</f>
        <v>0.01</v>
      </c>
      <c r="O44">
        <v>30</v>
      </c>
      <c r="P44" s="14" t="s">
        <v>278</v>
      </c>
    </row>
    <row r="45" spans="1:16">
      <c r="A45" s="182" t="s">
        <v>72</v>
      </c>
      <c r="B45" s="10">
        <f>+'WPI time series'!I46</f>
        <v>0.66200000000000003</v>
      </c>
      <c r="C45" s="10">
        <f>+'WPI time series'!M46</f>
        <v>0.70299999999999996</v>
      </c>
      <c r="D45" s="93" t="str">
        <f>+IF(E45="improving trend by",M$13,IF(E45="worsening trend by",L$13,N$13))</f>
        <v>é</v>
      </c>
      <c r="E45" s="10" t="str">
        <f>IF(J45&lt;M45,"worsening trend by",IF(J45&gt;N45,"improving trend by","no significant change"))</f>
        <v>improving trend by</v>
      </c>
      <c r="F45" s="10">
        <f>+ABS(J45)</f>
        <v>6.1933534743202401E-2</v>
      </c>
      <c r="I45" s="31" t="s">
        <v>115</v>
      </c>
      <c r="J45" s="10">
        <f>+C45/B45-1</f>
        <v>6.1933534743202401E-2</v>
      </c>
      <c r="L45" s="10">
        <v>0.03</v>
      </c>
      <c r="M45" s="10">
        <f>-L45</f>
        <v>-0.03</v>
      </c>
      <c r="N45" s="10">
        <f>+L45</f>
        <v>0.03</v>
      </c>
      <c r="O45">
        <v>31</v>
      </c>
      <c r="P45" t="s">
        <v>72</v>
      </c>
    </row>
    <row r="46" spans="1:16">
      <c r="A46" s="199" t="s">
        <v>493</v>
      </c>
      <c r="B46" s="9">
        <f>+'WPI time series'!I47</f>
        <v>15862</v>
      </c>
      <c r="C46" s="9">
        <f>+'WPI time series'!T47</f>
        <v>19510</v>
      </c>
      <c r="D46" s="93" t="str">
        <f>+IF(E46="improving trend by",M$13,IF(E46="worsening trend by",L$13,N$13))</f>
        <v>ê</v>
      </c>
      <c r="E46" s="10" t="str">
        <f>IF(J46&gt;N46,"worsening trend by",IF(J46&lt;M46,"improving trend by","no significant change"))</f>
        <v>worsening trend by</v>
      </c>
      <c r="F46" s="10">
        <f>+ABS(J46)</f>
        <v>0.22998360862438538</v>
      </c>
      <c r="I46" s="32" t="s">
        <v>114</v>
      </c>
      <c r="J46" s="10">
        <f>+C46/B46-1</f>
        <v>0.22998360862438538</v>
      </c>
      <c r="L46" s="9">
        <v>500</v>
      </c>
      <c r="M46" s="10">
        <f>-L46/C46</f>
        <v>-2.5627883136852898E-2</v>
      </c>
      <c r="N46" s="10">
        <f>+L46/C46</f>
        <v>2.5627883136852898E-2</v>
      </c>
      <c r="O46">
        <v>32</v>
      </c>
      <c r="P46" s="14" t="s">
        <v>354</v>
      </c>
    </row>
    <row r="47" spans="1:16">
      <c r="A47" s="182" t="s">
        <v>41</v>
      </c>
      <c r="B47" s="15">
        <f>+'WPI time series'!H48</f>
        <v>0.28999999999999998</v>
      </c>
      <c r="C47" s="15">
        <f>+'WPI time series'!X48</f>
        <v>0.28999999999999998</v>
      </c>
      <c r="D47" s="93" t="str">
        <f t="shared" si="10"/>
        <v>§</v>
      </c>
      <c r="E47" s="10" t="str">
        <f>IF(J47&gt;N47,"worsening trend by",IF(J47&lt;M47,"improving trend by","no significant change"))</f>
        <v>no significant change</v>
      </c>
      <c r="F47" s="10">
        <f t="shared" si="11"/>
        <v>0</v>
      </c>
      <c r="I47" s="32" t="s">
        <v>114</v>
      </c>
      <c r="J47" s="10">
        <f t="shared" si="12"/>
        <v>0</v>
      </c>
      <c r="L47" s="10">
        <v>0.05</v>
      </c>
      <c r="M47" s="10">
        <f>-L47</f>
        <v>-0.05</v>
      </c>
      <c r="N47" s="10">
        <f>+L47</f>
        <v>0.05</v>
      </c>
      <c r="O47">
        <v>33</v>
      </c>
      <c r="P47" t="s">
        <v>41</v>
      </c>
    </row>
    <row r="48" spans="1:16">
      <c r="A48" s="182" t="s">
        <v>162</v>
      </c>
      <c r="B48" s="15">
        <f>+'WPI time series'!H49</f>
        <v>0.86109108885094854</v>
      </c>
      <c r="C48" s="15">
        <f>+'WPI time series'!X49</f>
        <v>0.84288383628102481</v>
      </c>
      <c r="D48" s="93" t="str">
        <f t="shared" si="10"/>
        <v>§</v>
      </c>
      <c r="E48" s="10" t="str">
        <f>IF(J48&lt;M48,"worsening trend by",IF(J48&gt;N48,"improving trend by","no significant change"))</f>
        <v>no significant change</v>
      </c>
      <c r="F48" s="10">
        <f t="shared" si="11"/>
        <v>2.1144397852519536E-2</v>
      </c>
      <c r="I48" s="31" t="s">
        <v>115</v>
      </c>
      <c r="J48" s="10">
        <f t="shared" si="12"/>
        <v>-2.1144397852519536E-2</v>
      </c>
      <c r="L48" s="15">
        <v>0.05</v>
      </c>
      <c r="M48" s="10">
        <f>-L48</f>
        <v>-0.05</v>
      </c>
      <c r="N48" s="10">
        <f>+L48</f>
        <v>0.05</v>
      </c>
      <c r="O48">
        <v>34</v>
      </c>
      <c r="P48" t="s">
        <v>162</v>
      </c>
    </row>
    <row r="49" spans="1:16">
      <c r="A49" s="182" t="s">
        <v>166</v>
      </c>
      <c r="B49" s="9">
        <f>+'WPI time series'!G50</f>
        <v>222000</v>
      </c>
      <c r="C49" s="9">
        <f>+'WPI time series'!U50</f>
        <v>308885</v>
      </c>
      <c r="D49" s="93" t="str">
        <f t="shared" si="10"/>
        <v>ê</v>
      </c>
      <c r="E49" s="10" t="str">
        <f>IF(J49&gt;N49,"worsening trend by",IF(J49&lt;M49,"improving trend by","no significant change"))</f>
        <v>worsening trend by</v>
      </c>
      <c r="F49" s="10">
        <f t="shared" si="11"/>
        <v>0.3913738738738739</v>
      </c>
      <c r="I49" s="32" t="s">
        <v>114</v>
      </c>
      <c r="J49" s="10">
        <f t="shared" si="12"/>
        <v>0.3913738738738739</v>
      </c>
      <c r="L49" s="9">
        <v>20000</v>
      </c>
      <c r="M49" s="10">
        <f>-L49/C49</f>
        <v>-6.4749016624310013E-2</v>
      </c>
      <c r="N49" s="10">
        <f>+L49/C49</f>
        <v>6.4749016624310013E-2</v>
      </c>
      <c r="O49">
        <v>35</v>
      </c>
      <c r="P49" t="s">
        <v>166</v>
      </c>
    </row>
  </sheetData>
  <autoFilter ref="A14:P49" xr:uid="{F5D274EB-C85C-4CA7-B76E-3E19062683D5}">
    <sortState xmlns:xlrd2="http://schemas.microsoft.com/office/spreadsheetml/2017/richdata2" ref="A15:P49">
      <sortCondition ref="O14:O49"/>
    </sortState>
  </autoFilter>
  <phoneticPr fontId="2" type="noConversion"/>
  <hyperlinks>
    <hyperlink ref="A1" location="Index!A1" display="Return to Index" xr:uid="{00000000-0004-0000-2400-000000000000}"/>
    <hyperlink ref="A10" location="'WPI time series'!A1" display="WPI time series" xr:uid="{00000000-0004-0000-2400-000001000000}"/>
  </hyperlinks>
  <pageMargins left="0.75" right="0.75" top="1" bottom="1" header="0.5" footer="0.5"/>
  <pageSetup paperSize="9" orientation="portrait" r:id="rId1"/>
  <headerFooter alignWithMargins="0"/>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B76"/>
  <sheetViews>
    <sheetView workbookViewId="0">
      <selection activeCell="B1" sqref="B1"/>
    </sheetView>
  </sheetViews>
  <sheetFormatPr defaultRowHeight="12.75"/>
  <cols>
    <col min="2" max="2" width="29.1328125" customWidth="1"/>
    <col min="3" max="3" width="15.1328125" customWidth="1"/>
    <col min="6" max="6" width="18.86328125" customWidth="1"/>
    <col min="7" max="7" width="6" customWidth="1"/>
  </cols>
  <sheetData>
    <row r="1" spans="1:28">
      <c r="B1" s="1" t="s">
        <v>106</v>
      </c>
    </row>
    <row r="3" spans="1:28" ht="17.649999999999999">
      <c r="B3" s="83" t="s">
        <v>232</v>
      </c>
    </row>
    <row r="5" spans="1:28" ht="13.15">
      <c r="B5" s="38" t="s">
        <v>0</v>
      </c>
      <c r="C5" s="39"/>
      <c r="D5" s="39"/>
      <c r="E5" s="39"/>
      <c r="F5" s="39"/>
      <c r="G5" s="39"/>
      <c r="H5" s="39"/>
      <c r="I5" s="39"/>
      <c r="J5" s="40"/>
      <c r="Q5" s="21"/>
      <c r="R5" s="21"/>
      <c r="S5" s="21"/>
      <c r="T5" s="21"/>
      <c r="U5" s="21"/>
      <c r="V5" s="21"/>
      <c r="W5" s="21"/>
      <c r="X5" s="21"/>
      <c r="Y5" s="21"/>
      <c r="Z5" s="21"/>
      <c r="AA5" s="21"/>
      <c r="AB5" s="21"/>
    </row>
    <row r="6" spans="1:28" ht="13.15">
      <c r="B6" s="41" t="s">
        <v>1</v>
      </c>
      <c r="C6" s="42"/>
      <c r="D6" s="42"/>
      <c r="E6" s="42"/>
      <c r="F6" s="42"/>
      <c r="G6" s="42"/>
      <c r="H6" s="42"/>
      <c r="I6" s="42"/>
      <c r="J6" s="43"/>
      <c r="Q6" s="21"/>
      <c r="R6" s="21"/>
      <c r="S6" s="21"/>
      <c r="T6" s="21"/>
      <c r="U6" s="21"/>
      <c r="V6" s="21"/>
      <c r="W6" s="21"/>
      <c r="X6" s="21"/>
      <c r="Y6" s="21"/>
      <c r="Z6" s="21"/>
      <c r="AA6" s="21"/>
      <c r="AB6" s="21"/>
    </row>
    <row r="7" spans="1:28" ht="13.15">
      <c r="B7" s="44" t="s">
        <v>44</v>
      </c>
      <c r="C7" s="45"/>
      <c r="D7" s="45"/>
      <c r="E7" s="45"/>
      <c r="F7" s="45"/>
      <c r="G7" s="45"/>
      <c r="H7" s="45"/>
      <c r="I7" s="45"/>
      <c r="J7" s="46"/>
      <c r="Q7" s="27"/>
      <c r="R7" s="27"/>
      <c r="S7" s="27"/>
      <c r="T7" s="27"/>
      <c r="U7" s="27"/>
      <c r="V7" s="27"/>
      <c r="W7" s="27"/>
      <c r="X7" s="27"/>
      <c r="Y7" s="27"/>
      <c r="Z7" s="27"/>
      <c r="AA7" s="27"/>
      <c r="AB7" s="27"/>
    </row>
    <row r="8" spans="1:28">
      <c r="B8" s="14" t="s">
        <v>370</v>
      </c>
    </row>
    <row r="9" spans="1:28">
      <c r="B9" s="1" t="s">
        <v>45</v>
      </c>
    </row>
    <row r="11" spans="1:28" ht="13.15">
      <c r="B11" s="2"/>
      <c r="C11" s="2">
        <v>2007</v>
      </c>
      <c r="D11" s="2" t="s">
        <v>12</v>
      </c>
      <c r="E11" s="2" t="s">
        <v>227</v>
      </c>
      <c r="F11" s="2" t="s">
        <v>226</v>
      </c>
      <c r="G11" s="2" t="s">
        <v>27</v>
      </c>
      <c r="H11" s="50"/>
      <c r="I11" s="50"/>
      <c r="J11" s="50"/>
    </row>
    <row r="12" spans="1:28">
      <c r="A12">
        <v>1</v>
      </c>
      <c r="C12" s="49">
        <v>1</v>
      </c>
      <c r="D12">
        <v>0</v>
      </c>
      <c r="E12" s="93"/>
    </row>
    <row r="13" spans="1:28">
      <c r="A13">
        <v>2</v>
      </c>
      <c r="B13" s="162" t="s">
        <v>40</v>
      </c>
      <c r="C13" s="49">
        <v>1</v>
      </c>
      <c r="D13" s="22">
        <f>1+'WPI Score Card'!J16</f>
        <v>1.032701169069933</v>
      </c>
      <c r="E13" s="93" t="str">
        <f>+'WPI Score Card'!D16</f>
        <v>§</v>
      </c>
      <c r="F13" t="str">
        <f>+'WPI Score Card'!E16</f>
        <v>no significant change</v>
      </c>
      <c r="G13" s="58">
        <f>+'WPI Score Card'!F16</f>
        <v>3.2701169069933034E-2</v>
      </c>
    </row>
    <row r="14" spans="1:28">
      <c r="A14">
        <v>3</v>
      </c>
      <c r="C14" s="49">
        <v>1</v>
      </c>
      <c r="D14">
        <v>0</v>
      </c>
      <c r="E14" s="93"/>
    </row>
    <row r="15" spans="1:28">
      <c r="A15">
        <v>4</v>
      </c>
      <c r="B15" s="162" t="s">
        <v>160</v>
      </c>
      <c r="C15" s="49">
        <v>1</v>
      </c>
      <c r="D15" s="22">
        <f>1+'WPI Score Card'!J17</f>
        <v>0.98956780923994059</v>
      </c>
      <c r="E15" s="93" t="str">
        <f>+'WPI Score Card'!D17</f>
        <v>§</v>
      </c>
      <c r="F15" t="str">
        <f>+'WPI Score Card'!E17</f>
        <v>no significant change</v>
      </c>
      <c r="G15" s="58">
        <f>+'WPI Score Card'!F17</f>
        <v>1.0432190760059412E-2</v>
      </c>
    </row>
    <row r="16" spans="1:28">
      <c r="A16">
        <v>5</v>
      </c>
      <c r="C16" s="49">
        <v>1</v>
      </c>
      <c r="D16">
        <v>0</v>
      </c>
      <c r="E16" s="93"/>
    </row>
    <row r="17" spans="1:7">
      <c r="A17">
        <v>6</v>
      </c>
      <c r="B17" s="162" t="s">
        <v>38</v>
      </c>
      <c r="C17" s="49">
        <v>1</v>
      </c>
      <c r="D17" s="22">
        <f>1+'WPI Score Card'!J18</f>
        <v>1.24624874194432</v>
      </c>
      <c r="E17" s="93" t="str">
        <f>+'WPI Score Card'!D18</f>
        <v>é</v>
      </c>
      <c r="F17" t="str">
        <f>+'WPI Score Card'!E18</f>
        <v>improving trend by</v>
      </c>
      <c r="G17" s="58">
        <f>+'WPI Score Card'!F18</f>
        <v>0.24624874194432</v>
      </c>
    </row>
    <row r="18" spans="1:7">
      <c r="A18">
        <v>7</v>
      </c>
      <c r="C18" s="49">
        <v>1</v>
      </c>
      <c r="D18">
        <v>0</v>
      </c>
      <c r="E18" s="93"/>
    </row>
    <row r="19" spans="1:7">
      <c r="A19">
        <v>8</v>
      </c>
      <c r="B19" s="162" t="s">
        <v>37</v>
      </c>
      <c r="C19" s="49">
        <v>1</v>
      </c>
      <c r="D19" s="22">
        <f>1+'WPI Score Card'!J19</f>
        <v>1.1712850779421686</v>
      </c>
      <c r="E19" s="93" t="str">
        <f>+'WPI Score Card'!D19</f>
        <v>é</v>
      </c>
      <c r="F19" t="str">
        <f>+'WPI Score Card'!E19</f>
        <v>improving trend by</v>
      </c>
      <c r="G19" s="58">
        <f>+'WPI Score Card'!F19</f>
        <v>0.17128507794216863</v>
      </c>
    </row>
    <row r="20" spans="1:7">
      <c r="A20">
        <v>9</v>
      </c>
      <c r="C20" s="49">
        <v>1</v>
      </c>
      <c r="D20">
        <v>0</v>
      </c>
      <c r="E20" s="93"/>
    </row>
    <row r="21" spans="1:7">
      <c r="A21">
        <v>10</v>
      </c>
      <c r="B21" s="162" t="s">
        <v>71</v>
      </c>
      <c r="C21" s="49">
        <v>1</v>
      </c>
      <c r="D21" s="22">
        <f>1-'WPI Score Card'!J20</f>
        <v>0.64384557764648398</v>
      </c>
      <c r="E21" s="93" t="str">
        <f>+'WPI Score Card'!D20</f>
        <v>ê</v>
      </c>
      <c r="F21" t="str">
        <f>+'WPI Score Card'!E20</f>
        <v>worsening trend by</v>
      </c>
      <c r="G21" s="58">
        <f>+'WPI Score Card'!F20</f>
        <v>0.35615442235351602</v>
      </c>
    </row>
    <row r="22" spans="1:7">
      <c r="A22">
        <v>11</v>
      </c>
      <c r="C22" s="49">
        <v>1</v>
      </c>
      <c r="D22">
        <v>0</v>
      </c>
      <c r="E22" s="93"/>
    </row>
    <row r="23" spans="1:7">
      <c r="A23">
        <v>12</v>
      </c>
      <c r="B23" s="162" t="s">
        <v>83</v>
      </c>
      <c r="C23" s="49">
        <v>1</v>
      </c>
      <c r="D23" s="22">
        <f>1+'WPI Score Card'!J22</f>
        <v>0.5</v>
      </c>
      <c r="E23" s="93" t="str">
        <f>+'WPI Score Card'!D22</f>
        <v>ê</v>
      </c>
      <c r="F23" t="str">
        <f>+'WPI Score Card'!E22</f>
        <v>worsening trend by</v>
      </c>
      <c r="G23" s="58">
        <f>+'WPI Score Card'!F22</f>
        <v>0.5</v>
      </c>
    </row>
    <row r="24" spans="1:7">
      <c r="A24">
        <v>13</v>
      </c>
      <c r="C24" s="49">
        <v>1</v>
      </c>
      <c r="D24">
        <v>0</v>
      </c>
      <c r="E24" s="93"/>
    </row>
    <row r="25" spans="1:7">
      <c r="A25">
        <v>14</v>
      </c>
      <c r="B25" s="162" t="s">
        <v>34</v>
      </c>
      <c r="C25" s="49">
        <v>1</v>
      </c>
      <c r="D25" s="22">
        <f>1+'WPI Score Card'!J23</f>
        <v>0.91428571428571437</v>
      </c>
      <c r="E25" s="93" t="str">
        <f>+'WPI Score Card'!D23</f>
        <v>ê</v>
      </c>
      <c r="F25" t="str">
        <f>+'WPI Score Card'!E23</f>
        <v>worsening trend by</v>
      </c>
      <c r="G25" s="58">
        <f>+'WPI Score Card'!F23</f>
        <v>8.5714285714285632E-2</v>
      </c>
    </row>
    <row r="26" spans="1:7">
      <c r="A26">
        <v>15</v>
      </c>
      <c r="C26" s="49">
        <v>1</v>
      </c>
      <c r="D26">
        <v>0</v>
      </c>
      <c r="E26" s="93"/>
    </row>
    <row r="27" spans="1:7">
      <c r="A27">
        <v>16</v>
      </c>
      <c r="B27" s="162" t="s">
        <v>14</v>
      </c>
      <c r="C27" s="49">
        <v>1</v>
      </c>
      <c r="D27" s="22">
        <f>1-'WPI Score Card'!J24</f>
        <v>0.93995704416233017</v>
      </c>
      <c r="E27" s="93" t="str">
        <f>+'WPI Score Card'!D24</f>
        <v>ê</v>
      </c>
      <c r="F27" t="str">
        <f>+'WPI Score Card'!E24</f>
        <v>worsening trend by</v>
      </c>
      <c r="G27" s="58">
        <f>+'WPI Score Card'!F24</f>
        <v>6.0042955837669831E-2</v>
      </c>
    </row>
    <row r="28" spans="1:7">
      <c r="A28">
        <v>17</v>
      </c>
      <c r="C28" s="49">
        <v>1</v>
      </c>
      <c r="D28">
        <v>0</v>
      </c>
      <c r="E28" s="93"/>
    </row>
    <row r="29" spans="1:7">
      <c r="A29">
        <v>18</v>
      </c>
      <c r="B29" s="162" t="s">
        <v>39</v>
      </c>
      <c r="C29" s="49">
        <v>1</v>
      </c>
      <c r="D29" s="22">
        <f>1+'WPI Score Card'!J25</f>
        <v>0.76470588235294124</v>
      </c>
      <c r="E29" s="93" t="str">
        <f>+'WPI Score Card'!D25</f>
        <v>ê</v>
      </c>
      <c r="F29" t="str">
        <f>+'WPI Score Card'!E25</f>
        <v>worsening trend by</v>
      </c>
      <c r="G29" s="58">
        <f>+'WPI Score Card'!F25</f>
        <v>0.23529411764705876</v>
      </c>
    </row>
    <row r="30" spans="1:7">
      <c r="A30">
        <v>19</v>
      </c>
      <c r="C30" s="49">
        <v>1</v>
      </c>
      <c r="D30">
        <v>0</v>
      </c>
      <c r="E30" s="93"/>
    </row>
    <row r="31" spans="1:7">
      <c r="A31">
        <v>20</v>
      </c>
      <c r="B31" s="162" t="s">
        <v>68</v>
      </c>
      <c r="C31" s="49">
        <v>1</v>
      </c>
      <c r="D31" s="22">
        <f>1+'WPI Score Card'!J26</f>
        <v>1.1244462623413258</v>
      </c>
      <c r="E31" s="93" t="str">
        <f>+'WPI Score Card'!D26</f>
        <v>é</v>
      </c>
      <c r="F31" t="str">
        <f>+'WPI Score Card'!E26</f>
        <v>improving trend by</v>
      </c>
      <c r="G31" s="58">
        <f>+'WPI Score Card'!F26</f>
        <v>0.12444626234132583</v>
      </c>
    </row>
    <row r="32" spans="1:7">
      <c r="A32">
        <v>21</v>
      </c>
      <c r="C32" s="49">
        <v>1</v>
      </c>
      <c r="D32">
        <v>0</v>
      </c>
      <c r="E32" s="93"/>
    </row>
    <row r="33" spans="1:7">
      <c r="A33">
        <v>22</v>
      </c>
      <c r="B33" s="162" t="s">
        <v>65</v>
      </c>
      <c r="C33" s="49">
        <v>1</v>
      </c>
      <c r="D33" s="22">
        <f>1-'WPI Score Card'!J27</f>
        <v>0.91219512195121943</v>
      </c>
      <c r="E33" s="93" t="str">
        <f>+'WPI Score Card'!D27</f>
        <v>§</v>
      </c>
      <c r="F33" t="str">
        <f>+'WPI Score Card'!E27</f>
        <v>no significant change</v>
      </c>
      <c r="G33" s="58">
        <f>+'WPI Score Card'!F27</f>
        <v>8.7804878048780566E-2</v>
      </c>
    </row>
    <row r="34" spans="1:7">
      <c r="A34">
        <v>23</v>
      </c>
      <c r="C34" s="49">
        <v>1</v>
      </c>
      <c r="D34">
        <v>0</v>
      </c>
      <c r="E34" s="93"/>
    </row>
    <row r="35" spans="1:7">
      <c r="A35">
        <v>24</v>
      </c>
      <c r="B35" s="162" t="s">
        <v>159</v>
      </c>
      <c r="C35" s="49">
        <v>1</v>
      </c>
      <c r="D35" s="22">
        <f>1-'WPI Score Card'!J28</f>
        <v>0.88620693916257465</v>
      </c>
      <c r="E35" s="93" t="str">
        <f>+'WPI Score Card'!D28</f>
        <v>§</v>
      </c>
      <c r="F35" t="str">
        <f>+'WPI Score Card'!E28</f>
        <v>no significant change</v>
      </c>
      <c r="G35" s="58">
        <f>+'WPI Score Card'!F28</f>
        <v>0.11379306083742535</v>
      </c>
    </row>
    <row r="36" spans="1:7">
      <c r="A36">
        <v>25</v>
      </c>
      <c r="C36" s="49">
        <v>1</v>
      </c>
      <c r="D36">
        <v>0</v>
      </c>
      <c r="E36" s="93"/>
    </row>
    <row r="37" spans="1:7">
      <c r="A37">
        <v>26</v>
      </c>
      <c r="B37" s="162" t="s">
        <v>69</v>
      </c>
      <c r="C37" s="49">
        <v>1</v>
      </c>
      <c r="D37" s="22">
        <f>1+'WPI Score Card'!J29</f>
        <v>1.0194235588972429</v>
      </c>
      <c r="E37" s="93" t="str">
        <f>+'WPI Score Card'!D29</f>
        <v>é</v>
      </c>
      <c r="F37" t="str">
        <f>+'WPI Score Card'!E29</f>
        <v>improving trend by</v>
      </c>
      <c r="G37" s="58">
        <f>+'WPI Score Card'!F29</f>
        <v>1.9423558897242899E-2</v>
      </c>
    </row>
    <row r="38" spans="1:7">
      <c r="A38">
        <v>27</v>
      </c>
      <c r="B38" s="162"/>
      <c r="C38" s="49">
        <v>1</v>
      </c>
      <c r="D38">
        <v>0</v>
      </c>
      <c r="E38" s="93"/>
      <c r="G38" s="58"/>
    </row>
    <row r="39" spans="1:7">
      <c r="A39">
        <v>28</v>
      </c>
      <c r="B39" s="162" t="s">
        <v>154</v>
      </c>
      <c r="C39" s="49">
        <v>1</v>
      </c>
      <c r="D39" s="22">
        <f>1+'WPI Score Card'!J30</f>
        <v>0.95555555555555549</v>
      </c>
      <c r="E39" s="93" t="str">
        <f>+'WPI Score Card'!D30</f>
        <v>ê</v>
      </c>
      <c r="F39" t="str">
        <f>+'WPI Score Card'!E30</f>
        <v>worsening trend by</v>
      </c>
      <c r="G39" s="58">
        <f>+'WPI Score Card'!F30</f>
        <v>4.4444444444444509E-2</v>
      </c>
    </row>
    <row r="40" spans="1:7">
      <c r="A40">
        <v>29</v>
      </c>
      <c r="C40" s="49">
        <v>1</v>
      </c>
      <c r="D40">
        <v>0</v>
      </c>
      <c r="E40" s="93"/>
    </row>
    <row r="41" spans="1:7">
      <c r="A41">
        <v>30</v>
      </c>
      <c r="B41" s="162" t="s">
        <v>67</v>
      </c>
      <c r="C41" s="49">
        <v>1</v>
      </c>
      <c r="D41" s="22">
        <f>1+'WPI Score Card'!J31</f>
        <v>0.88888888888888895</v>
      </c>
      <c r="E41" s="93" t="str">
        <f>+'WPI Score Card'!D31</f>
        <v>ê</v>
      </c>
      <c r="F41" t="str">
        <f>+'WPI Score Card'!E31</f>
        <v>worsening trend by</v>
      </c>
      <c r="G41" s="58">
        <f>+'WPI Score Card'!F31</f>
        <v>0.11111111111111105</v>
      </c>
    </row>
    <row r="42" spans="1:7">
      <c r="A42">
        <v>31</v>
      </c>
      <c r="C42" s="49">
        <v>1</v>
      </c>
      <c r="D42">
        <v>0</v>
      </c>
      <c r="E42" s="93"/>
    </row>
    <row r="43" spans="1:7">
      <c r="A43">
        <v>32</v>
      </c>
      <c r="B43" s="162" t="s">
        <v>111</v>
      </c>
      <c r="C43" s="49">
        <v>1</v>
      </c>
      <c r="D43" s="22">
        <f>1+'WPI Score Card'!J32</f>
        <v>1.05</v>
      </c>
      <c r="E43" s="93" t="str">
        <f>+'WPI Score Card'!D32</f>
        <v>é</v>
      </c>
      <c r="F43" t="str">
        <f>+'WPI Score Card'!E32</f>
        <v>improving trend by</v>
      </c>
      <c r="G43" s="58">
        <f>+'WPI Score Card'!F32</f>
        <v>5.0000000000000044E-2</v>
      </c>
    </row>
    <row r="44" spans="1:7">
      <c r="A44">
        <v>33</v>
      </c>
      <c r="C44" s="49">
        <v>1</v>
      </c>
      <c r="D44">
        <v>0</v>
      </c>
      <c r="E44" s="93"/>
    </row>
    <row r="45" spans="1:7">
      <c r="A45">
        <v>34</v>
      </c>
      <c r="B45" s="162" t="s">
        <v>35</v>
      </c>
      <c r="C45" s="49">
        <v>1</v>
      </c>
      <c r="D45" s="22">
        <f>1+'WPI Score Card'!J33</f>
        <v>0.67213114754098358</v>
      </c>
      <c r="E45" s="93" t="str">
        <f>+'WPI Score Card'!D33</f>
        <v>ê</v>
      </c>
      <c r="F45" t="str">
        <f>+'WPI Score Card'!E33</f>
        <v>worsening trend by</v>
      </c>
      <c r="G45" s="58">
        <f>+'WPI Score Card'!F33</f>
        <v>0.32786885245901642</v>
      </c>
    </row>
    <row r="46" spans="1:7">
      <c r="A46">
        <v>35</v>
      </c>
      <c r="C46" s="49">
        <v>1</v>
      </c>
      <c r="D46">
        <v>0</v>
      </c>
      <c r="E46" s="93"/>
    </row>
    <row r="47" spans="1:7">
      <c r="A47">
        <v>36</v>
      </c>
      <c r="B47" s="162" t="s">
        <v>70</v>
      </c>
      <c r="C47" s="49">
        <v>1</v>
      </c>
      <c r="D47" s="22">
        <f>1+'WPI Score Card'!J34</f>
        <v>0.7046804242224074</v>
      </c>
      <c r="E47" s="93" t="str">
        <f>+'WPI Score Card'!D34</f>
        <v>ê</v>
      </c>
      <c r="F47" t="str">
        <f>+'WPI Score Card'!E34</f>
        <v>worsening trend by</v>
      </c>
      <c r="G47" s="58">
        <f>+'WPI Score Card'!F34</f>
        <v>0.2953195757775926</v>
      </c>
    </row>
    <row r="48" spans="1:7">
      <c r="A48">
        <v>37</v>
      </c>
      <c r="C48" s="49">
        <v>1</v>
      </c>
      <c r="D48">
        <v>0</v>
      </c>
      <c r="E48" s="93"/>
    </row>
    <row r="49" spans="1:7">
      <c r="A49">
        <v>38</v>
      </c>
      <c r="B49" s="162" t="s">
        <v>140</v>
      </c>
      <c r="C49" s="49">
        <v>1</v>
      </c>
      <c r="D49" s="22">
        <f>1-'WPI Score Card'!J35</f>
        <v>1.3091704489095877</v>
      </c>
      <c r="E49" s="93" t="str">
        <f>+'WPI Score Card'!D35</f>
        <v>é</v>
      </c>
      <c r="F49" t="str">
        <f>+'WPI Score Card'!E35</f>
        <v>improving trend by</v>
      </c>
      <c r="G49" s="58">
        <f>+'WPI Score Card'!F35</f>
        <v>0.30917044890958778</v>
      </c>
    </row>
    <row r="50" spans="1:7">
      <c r="A50">
        <v>39</v>
      </c>
      <c r="C50" s="49">
        <v>1</v>
      </c>
      <c r="D50">
        <v>0</v>
      </c>
      <c r="E50" s="93"/>
    </row>
    <row r="51" spans="1:7">
      <c r="A51">
        <v>40</v>
      </c>
      <c r="B51" s="162" t="s">
        <v>155</v>
      </c>
      <c r="C51" s="49">
        <v>1</v>
      </c>
      <c r="D51" s="22">
        <f>1+'WPI Score Card'!J36</f>
        <v>0.90476190476190466</v>
      </c>
      <c r="E51" s="93" t="str">
        <f>+'WPI Score Card'!D36</f>
        <v>ê</v>
      </c>
      <c r="F51" t="str">
        <f>+'WPI Score Card'!E36</f>
        <v>worsening trend by</v>
      </c>
      <c r="G51" s="58">
        <f>+'WPI Score Card'!F36</f>
        <v>9.5238095238095344E-2</v>
      </c>
    </row>
    <row r="52" spans="1:7">
      <c r="A52">
        <v>41</v>
      </c>
      <c r="C52" s="49">
        <v>1</v>
      </c>
      <c r="D52">
        <v>0</v>
      </c>
      <c r="E52" s="93"/>
    </row>
    <row r="53" spans="1:7">
      <c r="A53">
        <v>42</v>
      </c>
      <c r="B53" s="162" t="s">
        <v>36</v>
      </c>
      <c r="C53" s="49">
        <v>1</v>
      </c>
      <c r="D53" s="22">
        <f>1+'WPI Score Card'!J37</f>
        <v>1.0155279999999993</v>
      </c>
      <c r="E53" s="93" t="str">
        <f>+'WPI Score Card'!D37</f>
        <v>§</v>
      </c>
      <c r="F53" t="str">
        <f>+'WPI Score Card'!E37</f>
        <v>no significant change</v>
      </c>
      <c r="G53" s="58">
        <f>+'WPI Score Card'!F37</f>
        <v>1.552799999999932E-2</v>
      </c>
    </row>
    <row r="54" spans="1:7">
      <c r="A54">
        <v>43</v>
      </c>
      <c r="C54" s="49">
        <v>1</v>
      </c>
      <c r="D54">
        <v>0</v>
      </c>
      <c r="E54" s="93"/>
    </row>
    <row r="55" spans="1:7">
      <c r="A55">
        <v>44</v>
      </c>
      <c r="B55" s="162" t="s">
        <v>82</v>
      </c>
      <c r="C55" s="49">
        <v>1</v>
      </c>
      <c r="D55" s="22">
        <f>1+'WPI Score Card'!J38</f>
        <v>0.98468837798826669</v>
      </c>
      <c r="E55" s="93" t="str">
        <f>+'WPI Score Card'!D38</f>
        <v>§</v>
      </c>
      <c r="F55" t="str">
        <f>+'WPI Score Card'!E38</f>
        <v>no significant change</v>
      </c>
      <c r="G55" s="58">
        <f>+'WPI Score Card'!F38</f>
        <v>1.5311622011733306E-2</v>
      </c>
    </row>
    <row r="56" spans="1:7">
      <c r="A56">
        <v>45</v>
      </c>
      <c r="C56" s="49">
        <v>1</v>
      </c>
      <c r="D56">
        <v>0</v>
      </c>
      <c r="E56" s="93"/>
    </row>
    <row r="57" spans="1:7">
      <c r="A57">
        <v>46</v>
      </c>
      <c r="B57" s="162" t="s">
        <v>18</v>
      </c>
      <c r="C57" s="49">
        <v>1</v>
      </c>
      <c r="D57" s="22">
        <f>1-'WPI Score Card'!J40</f>
        <v>1.1000000000000001</v>
      </c>
      <c r="E57" s="93" t="str">
        <f>+'WPI Score Card'!D40</f>
        <v>§</v>
      </c>
      <c r="F57" t="str">
        <f>+'WPI Score Card'!E40</f>
        <v>no significant change</v>
      </c>
      <c r="G57" s="58">
        <f>+'WPI Score Card'!F40</f>
        <v>9.9999999999999978E-2</v>
      </c>
    </row>
    <row r="58" spans="1:7">
      <c r="A58">
        <v>47</v>
      </c>
      <c r="C58" s="49">
        <v>1</v>
      </c>
      <c r="D58">
        <v>0</v>
      </c>
      <c r="E58" s="93"/>
    </row>
    <row r="59" spans="1:7">
      <c r="A59">
        <v>48</v>
      </c>
      <c r="B59" s="162" t="s">
        <v>360</v>
      </c>
      <c r="C59" s="49">
        <v>1</v>
      </c>
      <c r="D59" s="22">
        <f>1+'WPI Score Card'!J41</f>
        <v>0.95729666605720565</v>
      </c>
      <c r="E59" s="93" t="str">
        <f>+'WPI Score Card'!D41</f>
        <v>§</v>
      </c>
      <c r="F59" t="str">
        <f>+'WPI Score Card'!E41</f>
        <v>no significant change</v>
      </c>
      <c r="G59" s="58">
        <f>+'WPI Score Card'!F41</f>
        <v>4.2703333942794353E-2</v>
      </c>
    </row>
    <row r="60" spans="1:7">
      <c r="A60">
        <v>49</v>
      </c>
      <c r="C60" s="49">
        <v>1</v>
      </c>
      <c r="D60">
        <v>0</v>
      </c>
      <c r="E60" s="93"/>
    </row>
    <row r="61" spans="1:7">
      <c r="A61">
        <v>50</v>
      </c>
      <c r="B61" s="162" t="s">
        <v>129</v>
      </c>
      <c r="C61" s="49">
        <v>1</v>
      </c>
      <c r="D61" s="22">
        <f>1+'WPI Score Card'!J42</f>
        <v>0.9707602339181286</v>
      </c>
      <c r="E61" s="93" t="str">
        <f>+'WPI Score Card'!D42</f>
        <v>§</v>
      </c>
      <c r="F61" t="str">
        <f>+'WPI Score Card'!E42</f>
        <v>no significant change</v>
      </c>
      <c r="G61" s="58">
        <f>+'WPI Score Card'!F42</f>
        <v>2.9239766081871399E-2</v>
      </c>
    </row>
    <row r="62" spans="1:7">
      <c r="A62">
        <v>51</v>
      </c>
      <c r="C62" s="49">
        <v>1</v>
      </c>
      <c r="D62">
        <v>0</v>
      </c>
      <c r="E62" s="93"/>
    </row>
    <row r="63" spans="1:7">
      <c r="A63">
        <v>52</v>
      </c>
      <c r="B63" s="162" t="s">
        <v>80</v>
      </c>
      <c r="C63" s="49">
        <v>1</v>
      </c>
      <c r="D63" s="22">
        <f>1-'WPI Score Card'!J43</f>
        <v>1.0979740949850547</v>
      </c>
      <c r="E63" s="93" t="str">
        <f>+'WPI Score Card'!D43</f>
        <v>§</v>
      </c>
      <c r="F63" t="str">
        <f>+'WPI Score Card'!E43</f>
        <v>no significant change</v>
      </c>
      <c r="G63" s="58">
        <f>+'WPI Score Card'!F43</f>
        <v>9.7974094985054827E-2</v>
      </c>
    </row>
    <row r="64" spans="1:7">
      <c r="A64">
        <v>53</v>
      </c>
      <c r="C64" s="49">
        <v>1</v>
      </c>
      <c r="D64">
        <v>0</v>
      </c>
      <c r="E64" s="93"/>
    </row>
    <row r="65" spans="1:7">
      <c r="A65">
        <v>54</v>
      </c>
      <c r="B65" s="162" t="s">
        <v>278</v>
      </c>
      <c r="C65" s="49">
        <v>1</v>
      </c>
      <c r="D65" s="22">
        <f>1+'WPI Score Card'!J44</f>
        <v>0.99945177122175355</v>
      </c>
      <c r="E65" s="93" t="str">
        <f>+'WPI Score Card'!D44</f>
        <v>§</v>
      </c>
      <c r="F65" t="str">
        <f>+'WPI Score Card'!E44</f>
        <v>no significant change</v>
      </c>
      <c r="G65" s="58">
        <f>+'WPI Score Card'!F44</f>
        <v>5.4822877824645122E-4</v>
      </c>
    </row>
    <row r="66" spans="1:7">
      <c r="A66">
        <v>55</v>
      </c>
      <c r="C66" s="49">
        <v>1</v>
      </c>
      <c r="D66">
        <v>0</v>
      </c>
      <c r="E66" s="93"/>
    </row>
    <row r="67" spans="1:7">
      <c r="A67">
        <v>56</v>
      </c>
      <c r="B67" s="162" t="s">
        <v>72</v>
      </c>
      <c r="C67" s="49">
        <v>1</v>
      </c>
      <c r="D67" s="22">
        <f>1+'WPI Score Card'!J45</f>
        <v>1.0619335347432024</v>
      </c>
      <c r="E67" s="93" t="str">
        <f>+'WPI Score Card'!D45</f>
        <v>é</v>
      </c>
      <c r="F67" t="str">
        <f>+'WPI Score Card'!E45</f>
        <v>improving trend by</v>
      </c>
      <c r="G67" s="58">
        <f>+'WPI Score Card'!F45</f>
        <v>6.1933534743202401E-2</v>
      </c>
    </row>
    <row r="68" spans="1:7">
      <c r="A68">
        <v>57</v>
      </c>
      <c r="C68" s="49">
        <v>1</v>
      </c>
      <c r="D68">
        <v>0</v>
      </c>
      <c r="E68" s="93"/>
    </row>
    <row r="69" spans="1:7">
      <c r="A69">
        <v>58</v>
      </c>
      <c r="B69" s="162" t="s">
        <v>498</v>
      </c>
      <c r="C69" s="49">
        <v>1</v>
      </c>
      <c r="D69" s="22">
        <f>1-'WPI Score Card'!J46</f>
        <v>0.77001639137561462</v>
      </c>
      <c r="E69" s="93" t="str">
        <f>+'WPI Score Card'!D46</f>
        <v>ê</v>
      </c>
      <c r="F69" t="str">
        <f>+'WPI Score Card'!E46</f>
        <v>worsening trend by</v>
      </c>
      <c r="G69" s="58">
        <f>+'WPI Score Card'!F46</f>
        <v>0.22998360862438538</v>
      </c>
    </row>
    <row r="70" spans="1:7">
      <c r="A70">
        <v>59</v>
      </c>
      <c r="C70" s="49">
        <v>1</v>
      </c>
      <c r="D70">
        <v>0</v>
      </c>
      <c r="E70" s="93"/>
    </row>
    <row r="71" spans="1:7">
      <c r="A71">
        <v>60</v>
      </c>
      <c r="B71" s="162" t="s">
        <v>41</v>
      </c>
      <c r="C71" s="49">
        <v>1</v>
      </c>
      <c r="D71" s="22">
        <f>1-'WPI Score Card'!J47</f>
        <v>1</v>
      </c>
      <c r="E71" s="93" t="str">
        <f>+'WPI Score Card'!D47</f>
        <v>§</v>
      </c>
      <c r="F71" t="str">
        <f>+'WPI Score Card'!E47</f>
        <v>no significant change</v>
      </c>
      <c r="G71" s="58">
        <f>+'WPI Score Card'!F47</f>
        <v>0</v>
      </c>
    </row>
    <row r="72" spans="1:7">
      <c r="A72">
        <v>61</v>
      </c>
      <c r="C72" s="49">
        <v>1</v>
      </c>
      <c r="D72">
        <v>0</v>
      </c>
      <c r="E72" s="93"/>
    </row>
    <row r="73" spans="1:7">
      <c r="A73">
        <v>62</v>
      </c>
      <c r="B73" s="162" t="s">
        <v>162</v>
      </c>
      <c r="C73" s="49">
        <v>1</v>
      </c>
      <c r="D73" s="22">
        <f>1+'WPI Score Card'!J48</f>
        <v>0.97885560214748046</v>
      </c>
      <c r="E73" s="93" t="str">
        <f>+'WPI Score Card'!D48</f>
        <v>§</v>
      </c>
      <c r="F73" t="str">
        <f>+'WPI Score Card'!E48</f>
        <v>no significant change</v>
      </c>
      <c r="G73" s="58">
        <f>+'WPI Score Card'!F48</f>
        <v>2.1144397852519536E-2</v>
      </c>
    </row>
    <row r="74" spans="1:7">
      <c r="A74">
        <v>63</v>
      </c>
      <c r="C74" s="49">
        <v>1</v>
      </c>
      <c r="D74">
        <v>0</v>
      </c>
      <c r="E74" s="93"/>
    </row>
    <row r="75" spans="1:7">
      <c r="A75">
        <v>64</v>
      </c>
      <c r="B75" s="162" t="s">
        <v>166</v>
      </c>
      <c r="C75" s="49">
        <v>1</v>
      </c>
      <c r="D75" s="22">
        <f>1-'WPI Score Card'!J49</f>
        <v>0.6086261261261261</v>
      </c>
      <c r="E75" s="93" t="str">
        <f>+'WPI Score Card'!D49</f>
        <v>ê</v>
      </c>
      <c r="F75" t="str">
        <f>+'WPI Score Card'!E49</f>
        <v>worsening trend by</v>
      </c>
      <c r="G75" s="58">
        <f>+'WPI Score Card'!F49</f>
        <v>0.3913738738738739</v>
      </c>
    </row>
    <row r="76" spans="1:7">
      <c r="A76">
        <v>65</v>
      </c>
      <c r="C76" s="49">
        <v>1</v>
      </c>
      <c r="D76">
        <v>0</v>
      </c>
    </row>
  </sheetData>
  <autoFilter ref="A11:G75" xr:uid="{00000000-0009-0000-0000-000025000000}"/>
  <phoneticPr fontId="2" type="noConversion"/>
  <hyperlinks>
    <hyperlink ref="B1" location="Index!A1" display="Return to Index" xr:uid="{00000000-0004-0000-2500-000000000000}"/>
    <hyperlink ref="B9" location="'A. WPI time series'!A1" display="WPI time series graph" xr:uid="{00000000-0004-0000-2500-000001000000}"/>
    <hyperlink ref="B31" location="'Educational attainment'!A1" display="Educational attainment" xr:uid="{00000000-0004-0000-2500-000004000000}"/>
    <hyperlink ref="B33" location="'Housing affordability'!A1" display="Housing affordability" xr:uid="{00000000-0004-0000-2500-000005000000}"/>
    <hyperlink ref="B43" location="'Perceptions of safety'!A1" display="Perceptions of safety" xr:uid="{00000000-0004-0000-2500-000006000000}"/>
    <hyperlink ref="B27" location="Crime!A1" display="Crime" xr:uid="{00000000-0004-0000-2500-000007000000}"/>
    <hyperlink ref="B49" location="'Road safety'!A1" display="Road safety" xr:uid="{00000000-0004-0000-2500-000008000000}"/>
    <hyperlink ref="B37" location="'Life expectancy'!A1" display="Life expectancy" xr:uid="{00000000-0004-0000-2500-000009000000}"/>
    <hyperlink ref="B41" location="'Perceived health'!A1" display="Perceived health" xr:uid="{00000000-0004-0000-2500-00000A000000}"/>
    <hyperlink ref="B51" location="'Social connectedness'!A1" display="Social connectedness" xr:uid="{00000000-0004-0000-2500-00000B000000}"/>
    <hyperlink ref="B25" location="'Community pride'!A1" display="Community pride" xr:uid="{00000000-0004-0000-2500-00000C000000}"/>
    <hyperlink ref="B45" location="'Physical activity'!A1" display="Physical activity" xr:uid="{00000000-0004-0000-2500-00000D000000}"/>
    <hyperlink ref="B29" location="'Cultural respect'!A1" display="Cultural respect" xr:uid="{00000000-0004-0000-2500-00000E000000}"/>
    <hyperlink ref="B53" location="'Te Reo Māori speakers'!A1" display="Te Reo Māori speakers" xr:uid="{00000000-0004-0000-2500-00000F000000}"/>
    <hyperlink ref="B55" location="'Voter turnout'!A1" display="Voter turnout" xr:uid="{00000000-0004-0000-2500-000010000000}"/>
    <hyperlink ref="B23" location="'Community engagement'!A1" display="Community engagement" xr:uid="{00000000-0004-0000-2500-000011000000}"/>
    <hyperlink ref="B17" location="Income!A1" display="Income" xr:uid="{00000000-0004-0000-2500-000012000000}"/>
    <hyperlink ref="B35" location="'Income inequality'!A1" display="Income inequality" xr:uid="{00000000-0004-0000-2500-000013000000}"/>
    <hyperlink ref="B13" location="'Building activity'!A1" display="Building activity" xr:uid="{00000000-0004-0000-2500-000014000000}"/>
    <hyperlink ref="B15" location="Employment!A1" display="Employment" xr:uid="{00000000-0004-0000-2500-000015000000}"/>
    <hyperlink ref="B47" location="'Public transport use'!A1" display="Public transport" xr:uid="{00000000-0004-0000-2500-000016000000}"/>
    <hyperlink ref="B21" location="'Water use'!A1" display="Water use" xr:uid="{00000000-0004-0000-2500-000017000000}"/>
    <hyperlink ref="B61" location="'Environmental attitudes'!A1" display="Environmental attitudes" xr:uid="{00000000-0004-0000-2500-000018000000}"/>
    <hyperlink ref="B71" location="'River water quality'!A1" display="River water quality" xr:uid="{00000000-0004-0000-2500-000019000000}"/>
    <hyperlink ref="B73" location="'Soil quality'!A1" display="Soil quality" xr:uid="{00000000-0004-0000-2500-00001A000000}"/>
    <hyperlink ref="B69" location="'Rural subdivision'!A1" display="Rural subdivision" xr:uid="{00000000-0004-0000-2500-00001B000000}"/>
    <hyperlink ref="B57" location="'Air quality'!A1" display="Air quality" xr:uid="{00000000-0004-0000-2500-00001C000000}"/>
    <hyperlink ref="B63" location="'Greenhouse gases'!A1" display="Greenhouse gases" xr:uid="{00000000-0004-0000-2500-00001D000000}"/>
    <hyperlink ref="B65" location="'Indigenous vegetation'!A1" display="Indigenous vegetation" xr:uid="{00000000-0004-0000-2500-00001E000000}"/>
    <hyperlink ref="B59" location="'Coastal habitats'!A1" display="Coastal habitats" xr:uid="{00000000-0004-0000-2500-00001F000000}"/>
    <hyperlink ref="B75" location="Waste!A1" display="Waste" xr:uid="{00000000-0004-0000-2500-000020000000}"/>
    <hyperlink ref="B67" location="Recycling!A1" display="Recycling" xr:uid="{00000000-0004-0000-2500-000021000000}"/>
    <hyperlink ref="B19" location="'Regional GDP'!A1" display="Regional GDP" xr:uid="{00000000-0004-0000-2500-000002000000}"/>
    <hyperlink ref="B39" location="'Life satisfaction'!A1" display="Life satisfaction" xr:uid="{E3DF6EFF-8B10-4745-9B2E-292F9A51B98B}"/>
  </hyperlinks>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Y80"/>
  <sheetViews>
    <sheetView workbookViewId="0">
      <selection activeCell="B1" sqref="B1"/>
    </sheetView>
  </sheetViews>
  <sheetFormatPr defaultRowHeight="12.75"/>
  <cols>
    <col min="2" max="2" width="26.6640625" customWidth="1"/>
    <col min="3" max="3" width="10.1328125" customWidth="1"/>
    <col min="4" max="4" width="14.86328125" customWidth="1"/>
    <col min="5" max="5" width="13.53125" customWidth="1"/>
    <col min="7" max="7" width="17.53125" customWidth="1"/>
    <col min="8" max="8" width="24" customWidth="1"/>
    <col min="10" max="10" width="21.53125" customWidth="1"/>
    <col min="21" max="21" width="50" customWidth="1"/>
  </cols>
  <sheetData>
    <row r="1" spans="1:25">
      <c r="B1" s="1" t="s">
        <v>106</v>
      </c>
    </row>
    <row r="3" spans="1:25" ht="17.649999999999999">
      <c r="B3" s="83" t="s">
        <v>231</v>
      </c>
    </row>
    <row r="5" spans="1:25" ht="13.15">
      <c r="B5" s="38" t="s">
        <v>79</v>
      </c>
      <c r="C5" s="39"/>
      <c r="D5" s="39"/>
      <c r="E5" s="39"/>
      <c r="F5" s="39"/>
      <c r="G5" s="39"/>
      <c r="H5" s="39"/>
      <c r="I5" s="39"/>
      <c r="J5" s="39"/>
      <c r="N5" s="21"/>
      <c r="O5" s="21"/>
      <c r="P5" s="21"/>
      <c r="Q5" s="21"/>
      <c r="R5" s="21"/>
      <c r="S5" s="21"/>
      <c r="T5" s="21"/>
      <c r="U5" s="21"/>
      <c r="V5" s="21"/>
      <c r="W5" s="21"/>
      <c r="X5" s="21"/>
      <c r="Y5" s="21"/>
    </row>
    <row r="6" spans="1:25" ht="13.15">
      <c r="B6" s="41" t="s">
        <v>353</v>
      </c>
      <c r="C6" s="42"/>
      <c r="D6" s="42"/>
      <c r="E6" s="42"/>
      <c r="F6" s="42"/>
      <c r="G6" s="42"/>
      <c r="H6" s="42"/>
      <c r="I6" s="42"/>
      <c r="J6" s="42"/>
      <c r="N6" s="21"/>
      <c r="O6" s="21"/>
      <c r="P6" s="21"/>
      <c r="Q6" s="21"/>
      <c r="R6" s="21"/>
      <c r="S6" s="21"/>
      <c r="T6" s="21"/>
      <c r="U6" s="21"/>
      <c r="V6" s="21"/>
      <c r="W6" s="21"/>
      <c r="X6" s="21"/>
      <c r="Y6" s="21"/>
    </row>
    <row r="7" spans="1:25" ht="13.15">
      <c r="B7" s="44" t="s">
        <v>95</v>
      </c>
      <c r="C7" s="45"/>
      <c r="D7" s="45"/>
      <c r="E7" s="45"/>
      <c r="F7" s="45"/>
      <c r="G7" s="45"/>
      <c r="H7" s="45"/>
      <c r="I7" s="45"/>
      <c r="J7" s="45"/>
      <c r="N7" s="27"/>
      <c r="O7" s="27"/>
      <c r="P7" s="27"/>
      <c r="Q7" s="27"/>
      <c r="R7" s="27"/>
      <c r="S7" s="27"/>
      <c r="T7" s="27"/>
      <c r="U7" s="27"/>
      <c r="V7" s="27"/>
      <c r="W7" s="27"/>
      <c r="X7" s="27"/>
      <c r="Y7" s="27"/>
    </row>
    <row r="8" spans="1:25">
      <c r="B8" s="14" t="s">
        <v>370</v>
      </c>
    </row>
    <row r="9" spans="1:25">
      <c r="B9" s="1" t="s">
        <v>45</v>
      </c>
      <c r="L9" s="67" t="s">
        <v>58</v>
      </c>
      <c r="M9" s="62" t="s">
        <v>59</v>
      </c>
      <c r="N9" s="62" t="s">
        <v>60</v>
      </c>
    </row>
    <row r="10" spans="1:25">
      <c r="C10" s="122" t="s">
        <v>366</v>
      </c>
      <c r="D10" s="122" t="s">
        <v>365</v>
      </c>
      <c r="L10" s="94" t="s">
        <v>228</v>
      </c>
      <c r="M10" s="94" t="s">
        <v>229</v>
      </c>
      <c r="N10" s="94" t="s">
        <v>230</v>
      </c>
    </row>
    <row r="11" spans="1:25" ht="13.15">
      <c r="C11" s="2" t="s">
        <v>91</v>
      </c>
      <c r="D11" s="2" t="s">
        <v>147</v>
      </c>
      <c r="E11" s="2" t="s">
        <v>76</v>
      </c>
      <c r="F11" s="2" t="s">
        <v>77</v>
      </c>
      <c r="G11" s="2" t="s">
        <v>78</v>
      </c>
      <c r="H11" s="2" t="s">
        <v>131</v>
      </c>
      <c r="I11" s="2" t="s">
        <v>227</v>
      </c>
      <c r="J11" s="2" t="s">
        <v>226</v>
      </c>
      <c r="K11" s="2" t="s">
        <v>26</v>
      </c>
      <c r="L11" s="2" t="s">
        <v>225</v>
      </c>
      <c r="M11" s="2"/>
      <c r="N11" s="2"/>
    </row>
    <row r="12" spans="1:25" ht="13.15">
      <c r="A12">
        <v>1</v>
      </c>
      <c r="C12" s="2"/>
      <c r="D12" s="2"/>
      <c r="E12" s="2"/>
      <c r="F12" s="51">
        <v>1</v>
      </c>
      <c r="G12" s="49">
        <v>0</v>
      </c>
      <c r="H12" s="2"/>
    </row>
    <row r="13" spans="1:25">
      <c r="A13">
        <v>2</v>
      </c>
      <c r="B13" s="162" t="s">
        <v>40</v>
      </c>
      <c r="C13" s="19">
        <f>'WPI Score Card'!C16</f>
        <v>4326.9483027171837</v>
      </c>
      <c r="D13" s="19">
        <v>4463.63778828665</v>
      </c>
      <c r="E13" s="32"/>
      <c r="F13" s="51">
        <v>1</v>
      </c>
      <c r="G13" s="49">
        <f>C13/D13</f>
        <v>0.96937711076643296</v>
      </c>
      <c r="I13" s="93" t="str">
        <f>+IF(J13="better",M$10,IF(J13="worse",L$10,N$10))</f>
        <v>§</v>
      </c>
      <c r="J13" s="10" t="str">
        <f>IF(K13&lt;M13,"worse",IF(K13&gt;N13,"better","equal to"))</f>
        <v>equal to</v>
      </c>
      <c r="K13" s="10">
        <f>+C13/D13-1</f>
        <v>-3.0622889233567041E-2</v>
      </c>
      <c r="L13" s="10">
        <v>0.05</v>
      </c>
      <c r="M13" s="10">
        <v>-0.05</v>
      </c>
      <c r="N13" s="10">
        <v>0.05</v>
      </c>
    </row>
    <row r="14" spans="1:25" ht="13.15">
      <c r="A14">
        <v>3</v>
      </c>
      <c r="C14" s="2"/>
      <c r="D14" s="2"/>
      <c r="E14" s="2"/>
      <c r="F14" s="51">
        <v>1</v>
      </c>
      <c r="G14" s="51">
        <v>0</v>
      </c>
      <c r="H14" s="2"/>
      <c r="L14" s="9"/>
      <c r="M14" s="10"/>
      <c r="N14" s="10"/>
    </row>
    <row r="15" spans="1:25">
      <c r="A15">
        <v>4</v>
      </c>
      <c r="B15" s="162" t="s">
        <v>160</v>
      </c>
      <c r="C15" s="164">
        <f>+'WPI Score Card'!C17</f>
        <v>0.66400000000000003</v>
      </c>
      <c r="D15" s="164">
        <v>0.69399999999999995</v>
      </c>
      <c r="E15" s="31" t="s">
        <v>115</v>
      </c>
      <c r="F15" s="49">
        <f>+D15/D15</f>
        <v>1</v>
      </c>
      <c r="G15" s="49">
        <f>+C15/D15</f>
        <v>0.95677233429394826</v>
      </c>
      <c r="I15" s="93" t="str">
        <f>+IF(J15="better",M$10,IF(J15="worse",L$10,N$10))</f>
        <v>ê</v>
      </c>
      <c r="J15" s="10" t="str">
        <f>IF(K15&lt;M15,"worse",IF(K15&gt;N15,"better","equal to"))</f>
        <v>worse</v>
      </c>
      <c r="K15" s="10">
        <f>+C15/D15-1</f>
        <v>-4.3227665706051743E-2</v>
      </c>
      <c r="L15" s="10">
        <v>0.03</v>
      </c>
      <c r="M15" s="10">
        <v>-0.03</v>
      </c>
      <c r="N15" s="10">
        <v>0.03</v>
      </c>
    </row>
    <row r="16" spans="1:25" ht="13.15">
      <c r="A16">
        <v>5</v>
      </c>
      <c r="C16" s="2"/>
      <c r="D16" s="2"/>
      <c r="E16" s="2"/>
      <c r="F16" s="51">
        <v>1</v>
      </c>
      <c r="G16" s="51">
        <v>0</v>
      </c>
      <c r="H16" s="2"/>
    </row>
    <row r="17" spans="1:14">
      <c r="A17">
        <v>6</v>
      </c>
      <c r="B17" s="162" t="s">
        <v>38</v>
      </c>
      <c r="C17" s="19">
        <f>+'WPI Score Card'!C18</f>
        <v>2080</v>
      </c>
      <c r="D17" s="19">
        <v>2210</v>
      </c>
      <c r="E17" s="31" t="s">
        <v>115</v>
      </c>
      <c r="F17" s="51">
        <v>1</v>
      </c>
      <c r="G17" s="49">
        <f>+C17/D17</f>
        <v>0.94117647058823528</v>
      </c>
      <c r="I17" s="93" t="str">
        <f>+IF(J17="better",M$10,IF(J17="worse",L$10,N$10))</f>
        <v>ê</v>
      </c>
      <c r="J17" s="10" t="str">
        <f>IF(K17&lt;M17,"worse",IF(K17&gt;N17,"better","equal to"))</f>
        <v>worse</v>
      </c>
      <c r="K17" s="10">
        <f>+C17/D17-1</f>
        <v>-5.8823529411764719E-2</v>
      </c>
      <c r="L17" s="66">
        <v>50</v>
      </c>
      <c r="M17" s="10">
        <v>-3.3647375504710635E-2</v>
      </c>
      <c r="N17" s="10">
        <v>3.3647375504710635E-2</v>
      </c>
    </row>
    <row r="18" spans="1:14" ht="13.15">
      <c r="A18">
        <v>7</v>
      </c>
      <c r="C18" s="2"/>
      <c r="D18" s="2"/>
      <c r="E18" s="2"/>
      <c r="F18" s="51">
        <v>1</v>
      </c>
      <c r="G18" s="51">
        <v>0</v>
      </c>
      <c r="H18" s="2"/>
    </row>
    <row r="19" spans="1:14">
      <c r="A19">
        <v>8</v>
      </c>
      <c r="B19" s="162" t="s">
        <v>37</v>
      </c>
      <c r="C19" s="158">
        <f>+'WPI Score Card'!C19</f>
        <v>67028</v>
      </c>
      <c r="D19" s="158">
        <v>75311</v>
      </c>
      <c r="E19" s="31" t="s">
        <v>115</v>
      </c>
      <c r="F19" s="49">
        <f>+D19/D19</f>
        <v>1</v>
      </c>
      <c r="G19" s="49">
        <f>+C19/D19</f>
        <v>0.89001606671004241</v>
      </c>
      <c r="I19" s="93" t="str">
        <f>+IF(J19="better",M$10,IF(J19="worse",L$10,N$10))</f>
        <v>ê</v>
      </c>
      <c r="J19" s="10" t="str">
        <f>IF(K19&lt;M19,"worse",IF(K19&gt;N19,"better","equal to"))</f>
        <v>worse</v>
      </c>
      <c r="K19" s="10">
        <f>+C19/D19-1</f>
        <v>-0.10998393328995759</v>
      </c>
      <c r="L19" s="66">
        <v>3000</v>
      </c>
      <c r="M19" s="10">
        <v>-0.05</v>
      </c>
      <c r="N19" s="10">
        <v>0.05</v>
      </c>
    </row>
    <row r="20" spans="1:14" ht="13.15">
      <c r="A20">
        <v>9</v>
      </c>
      <c r="C20" s="2"/>
      <c r="D20" s="2"/>
      <c r="E20" s="2"/>
      <c r="F20" s="51">
        <v>1</v>
      </c>
      <c r="G20" s="51">
        <v>0</v>
      </c>
      <c r="H20" s="2"/>
    </row>
    <row r="21" spans="1:14">
      <c r="A21">
        <v>10</v>
      </c>
      <c r="B21" s="162" t="s">
        <v>83</v>
      </c>
      <c r="C21" s="98">
        <f>+'WPI Score Card'!C22</f>
        <v>0.31</v>
      </c>
      <c r="D21" s="98">
        <v>0.28000000000000003</v>
      </c>
      <c r="E21" s="31" t="s">
        <v>115</v>
      </c>
      <c r="F21" s="51">
        <v>1</v>
      </c>
      <c r="G21" s="49">
        <f>+C21/D21</f>
        <v>1.107142857142857</v>
      </c>
      <c r="H21" s="21" t="s">
        <v>490</v>
      </c>
      <c r="I21" s="93" t="str">
        <f>+IF(J21="better",M$10,IF(J21="worse",L$10,N$10))</f>
        <v>é</v>
      </c>
      <c r="J21" s="10" t="str">
        <f>IF(K21&lt;M21,"worse",IF(K21&gt;N21,"better","equal to"))</f>
        <v>better</v>
      </c>
      <c r="K21" s="10">
        <f>+C21/D21-1</f>
        <v>0.10714285714285698</v>
      </c>
      <c r="L21" s="10">
        <v>0.03</v>
      </c>
      <c r="M21" s="10">
        <v>-0.03</v>
      </c>
      <c r="N21" s="10">
        <v>0.03</v>
      </c>
    </row>
    <row r="22" spans="1:14" ht="13.15">
      <c r="A22">
        <v>11</v>
      </c>
      <c r="C22" s="2"/>
      <c r="D22" s="2"/>
      <c r="E22" s="2"/>
      <c r="F22" s="51">
        <v>1</v>
      </c>
      <c r="G22" s="51">
        <v>0</v>
      </c>
      <c r="H22" s="2"/>
    </row>
    <row r="23" spans="1:14">
      <c r="A23">
        <v>12</v>
      </c>
      <c r="B23" s="162" t="s">
        <v>34</v>
      </c>
      <c r="C23" s="15">
        <f>+'WPI Score Card'!C23</f>
        <v>0.64</v>
      </c>
      <c r="D23" s="15">
        <v>0.55000000000000004</v>
      </c>
      <c r="E23" s="31" t="s">
        <v>115</v>
      </c>
      <c r="F23" s="51">
        <v>1</v>
      </c>
      <c r="G23" s="49">
        <f>+C23/D23</f>
        <v>1.1636363636363636</v>
      </c>
      <c r="H23" s="21" t="s">
        <v>490</v>
      </c>
      <c r="I23" s="93" t="str">
        <f>+IF(J23="better",M$10,IF(J23="worse",L$10,N$10))</f>
        <v>é</v>
      </c>
      <c r="J23" s="10" t="str">
        <f>IF(K23&lt;M23,"worse",IF(K23&gt;N23,"better","equal to"))</f>
        <v>better</v>
      </c>
      <c r="K23" s="10">
        <f>+C23/D23-1</f>
        <v>0.16363636363636358</v>
      </c>
      <c r="L23" s="10">
        <v>0.03</v>
      </c>
      <c r="M23" s="10">
        <v>-0.03</v>
      </c>
      <c r="N23" s="10">
        <v>0.03</v>
      </c>
    </row>
    <row r="24" spans="1:14" ht="13.15">
      <c r="A24">
        <v>13</v>
      </c>
      <c r="C24" s="2"/>
      <c r="D24" s="2"/>
      <c r="E24" s="2"/>
      <c r="F24" s="51">
        <v>1</v>
      </c>
      <c r="G24" s="51">
        <v>0</v>
      </c>
      <c r="H24" s="2"/>
    </row>
    <row r="25" spans="1:14">
      <c r="A25">
        <v>14</v>
      </c>
      <c r="B25" s="162" t="s">
        <v>14</v>
      </c>
      <c r="C25" s="61">
        <f>+'WPI Score Card'!C24</f>
        <v>845.8143837200339</v>
      </c>
      <c r="D25" s="61">
        <v>727.7689494744501</v>
      </c>
      <c r="E25" s="32" t="s">
        <v>114</v>
      </c>
      <c r="F25" s="51">
        <v>1</v>
      </c>
      <c r="G25" s="49">
        <f>1/(C25/D25)</f>
        <v>0.86043576874822092</v>
      </c>
      <c r="I25" s="93" t="str">
        <f>+IF(J25="better",M$10,IF(J25="worse",L$10,N$10))</f>
        <v>ê</v>
      </c>
      <c r="J25" s="10" t="str">
        <f>IF(K25&gt;N25,"worse",IF(K25&lt;M25,"better","equal to"))</f>
        <v>worse</v>
      </c>
      <c r="K25" s="10">
        <f>+C25/D25-1</f>
        <v>0.16220180090237291</v>
      </c>
      <c r="L25" s="59">
        <v>50</v>
      </c>
      <c r="M25" s="10">
        <v>-9.8725274725274717E-2</v>
      </c>
      <c r="N25" s="10">
        <v>9.8725274725274717E-2</v>
      </c>
    </row>
    <row r="26" spans="1:14" ht="13.15">
      <c r="A26">
        <v>17</v>
      </c>
      <c r="C26" s="2"/>
      <c r="D26" s="2"/>
      <c r="E26" s="2"/>
      <c r="F26" s="51">
        <v>1</v>
      </c>
      <c r="G26" s="51">
        <v>0</v>
      </c>
      <c r="H26" s="2"/>
    </row>
    <row r="27" spans="1:14">
      <c r="A27">
        <v>18</v>
      </c>
      <c r="B27" s="162" t="s">
        <v>68</v>
      </c>
      <c r="C27" s="10">
        <f>+'WPI Score Card'!C26</f>
        <v>0.72199999999999998</v>
      </c>
      <c r="D27" s="10">
        <v>0.75</v>
      </c>
      <c r="E27" s="31" t="s">
        <v>115</v>
      </c>
      <c r="F27" s="49">
        <f>+D27/D27</f>
        <v>1</v>
      </c>
      <c r="G27" s="49">
        <f>+C27/D27</f>
        <v>0.96266666666666667</v>
      </c>
      <c r="I27" s="93" t="str">
        <f>+IF(J27="better",M$10,IF(J27="worse",L$10,N$10))</f>
        <v>ê</v>
      </c>
      <c r="J27" s="10" t="str">
        <f>IF(K27&lt;M27,"worse",IF(K27&gt;N27,"better","equal to"))</f>
        <v>worse</v>
      </c>
      <c r="K27" s="10">
        <f>+C27/D27-1</f>
        <v>-3.7333333333333329E-2</v>
      </c>
      <c r="L27" s="10">
        <v>0.03</v>
      </c>
      <c r="M27" s="10">
        <v>-0.03</v>
      </c>
      <c r="N27" s="10">
        <v>0.03</v>
      </c>
    </row>
    <row r="28" spans="1:14" ht="13.15">
      <c r="A28">
        <v>19</v>
      </c>
      <c r="C28" s="2"/>
      <c r="D28" s="2"/>
      <c r="E28" s="2"/>
      <c r="F28" s="51">
        <v>1</v>
      </c>
      <c r="G28" s="51">
        <v>0</v>
      </c>
      <c r="H28" s="2"/>
    </row>
    <row r="29" spans="1:14">
      <c r="A29">
        <v>20</v>
      </c>
      <c r="B29" s="162" t="s">
        <v>65</v>
      </c>
      <c r="C29" s="10">
        <f>+'WPI Score Card'!C27</f>
        <v>0.223</v>
      </c>
      <c r="D29" s="10">
        <v>0.217</v>
      </c>
      <c r="E29" s="32" t="s">
        <v>114</v>
      </c>
      <c r="F29" s="49">
        <f>+D29/D29</f>
        <v>1</v>
      </c>
      <c r="G29" s="49">
        <f>1/(C29/D29)</f>
        <v>0.97309417040358737</v>
      </c>
      <c r="I29" s="93" t="str">
        <f>+IF(J29="better",M$10,IF(J29="worse",L$10,N$10))</f>
        <v>§</v>
      </c>
      <c r="J29" s="10" t="str">
        <f>IF(K29&gt;N29,"worse",IF(K29&lt;M29,"better","equal to"))</f>
        <v>equal to</v>
      </c>
      <c r="K29" s="10">
        <f>+C29/D29-1</f>
        <v>2.7649769585253559E-2</v>
      </c>
      <c r="L29" s="10">
        <v>0.05</v>
      </c>
      <c r="M29" s="10">
        <v>-0.05</v>
      </c>
      <c r="N29" s="10">
        <v>0.05</v>
      </c>
    </row>
    <row r="30" spans="1:14" ht="13.15">
      <c r="A30">
        <v>21</v>
      </c>
      <c r="C30" s="2"/>
      <c r="D30" s="2"/>
      <c r="E30" s="2"/>
      <c r="F30" s="51">
        <v>1</v>
      </c>
      <c r="G30" s="51">
        <v>0</v>
      </c>
      <c r="H30" s="2"/>
    </row>
    <row r="31" spans="1:14">
      <c r="A31">
        <v>22</v>
      </c>
      <c r="B31" s="162" t="s">
        <v>159</v>
      </c>
      <c r="C31" s="22">
        <f>+'WPI Score Card'!C28</f>
        <v>0.39102622770000001</v>
      </c>
      <c r="D31" s="22">
        <v>0.41670700160000002</v>
      </c>
      <c r="E31" s="32" t="s">
        <v>114</v>
      </c>
      <c r="F31" s="51">
        <v>1</v>
      </c>
      <c r="G31" s="49">
        <f>1/(C31/D31)</f>
        <v>1.0656753232412395</v>
      </c>
      <c r="I31" s="93" t="str">
        <f>+IF(J31="better",M$10,IF(J31="worse",L$10,N$10))</f>
        <v>§</v>
      </c>
      <c r="J31" s="10" t="str">
        <f>IF(K31&gt;N31,"worse",IF(K31&lt;M31,"better","equal to"))</f>
        <v>equal to</v>
      </c>
      <c r="K31" s="10">
        <f>+C31/D31-1</f>
        <v>-6.1627891543447499E-2</v>
      </c>
      <c r="L31" s="22">
        <v>0.15</v>
      </c>
      <c r="M31" s="10">
        <f>-L31</f>
        <v>-0.15</v>
      </c>
      <c r="N31" s="10">
        <f>+L31</f>
        <v>0.15</v>
      </c>
    </row>
    <row r="32" spans="1:14" ht="13.15">
      <c r="A32">
        <v>23</v>
      </c>
      <c r="C32" s="2"/>
      <c r="D32" s="2"/>
      <c r="E32" s="2"/>
      <c r="F32" s="51">
        <v>1</v>
      </c>
      <c r="G32" s="51">
        <v>0</v>
      </c>
      <c r="H32" s="2"/>
    </row>
    <row r="33" spans="1:14">
      <c r="A33">
        <v>24</v>
      </c>
      <c r="B33" s="162" t="s">
        <v>69</v>
      </c>
      <c r="C33" s="13">
        <f>+'WPI Score Card'!C29</f>
        <v>81.349999999999994</v>
      </c>
      <c r="D33" s="13">
        <v>81.8</v>
      </c>
      <c r="E33" s="31" t="s">
        <v>115</v>
      </c>
      <c r="F33" s="51">
        <v>1</v>
      </c>
      <c r="G33" s="49">
        <f>+C33/D33</f>
        <v>0.99449877750611249</v>
      </c>
      <c r="I33" s="93" t="str">
        <f>+IF(J33="better",M$10,IF(J33="worse",L$10,N$10))</f>
        <v>§</v>
      </c>
      <c r="J33" s="10" t="str">
        <f>IF(K33&lt;M33,"worse",IF(K33&gt;N33,"better","equal to"))</f>
        <v>equal to</v>
      </c>
      <c r="K33" s="10">
        <f>+C33/D33-1</f>
        <v>-5.5012224938875143E-3</v>
      </c>
      <c r="L33" s="59">
        <v>1</v>
      </c>
      <c r="M33" s="10">
        <v>-1.2353304508956145E-2</v>
      </c>
      <c r="N33" s="10">
        <v>1.2353304508956145E-2</v>
      </c>
    </row>
    <row r="34" spans="1:14" ht="13.15">
      <c r="A34">
        <v>25</v>
      </c>
      <c r="C34" s="2"/>
      <c r="D34" s="2"/>
      <c r="E34" s="2"/>
      <c r="F34" s="51">
        <v>1</v>
      </c>
      <c r="G34" s="51">
        <v>0</v>
      </c>
      <c r="H34" s="2"/>
    </row>
    <row r="35" spans="1:14">
      <c r="A35">
        <v>26</v>
      </c>
      <c r="B35" s="162" t="s">
        <v>154</v>
      </c>
      <c r="C35" s="15">
        <f>+'WPI Score Card'!C30</f>
        <v>0.86</v>
      </c>
      <c r="D35" s="15">
        <v>0.83</v>
      </c>
      <c r="E35" s="31" t="s">
        <v>115</v>
      </c>
      <c r="F35" s="49">
        <f>+D35/D35</f>
        <v>1</v>
      </c>
      <c r="G35" s="49">
        <f>+C35/D35</f>
        <v>1.036144578313253</v>
      </c>
      <c r="H35" s="21" t="s">
        <v>490</v>
      </c>
      <c r="I35" s="93" t="str">
        <f>+IF(J35="better",M$10,IF(J35="worse",L$10,N$10))</f>
        <v>é</v>
      </c>
      <c r="J35" s="10" t="str">
        <f>IF(K35&lt;M35,"worse",IF(K35&gt;N35,"better","equal to"))</f>
        <v>better</v>
      </c>
      <c r="K35" s="10">
        <f>+C35/D35-1</f>
        <v>3.6144578313253017E-2</v>
      </c>
      <c r="L35" s="10">
        <v>3.2000000000000001E-2</v>
      </c>
      <c r="M35" s="10">
        <v>-3.2000000000000001E-2</v>
      </c>
      <c r="N35" s="10">
        <v>3.2000000000000001E-2</v>
      </c>
    </row>
    <row r="36" spans="1:14" ht="13.15">
      <c r="A36">
        <v>31</v>
      </c>
      <c r="C36" s="2"/>
      <c r="D36" s="2"/>
      <c r="E36" s="2"/>
      <c r="F36" s="51">
        <v>1</v>
      </c>
      <c r="G36" s="51">
        <v>0</v>
      </c>
      <c r="H36" s="2"/>
    </row>
    <row r="37" spans="1:14">
      <c r="A37">
        <v>32</v>
      </c>
      <c r="B37" s="162" t="s">
        <v>35</v>
      </c>
      <c r="C37" s="15">
        <f>+'WPI Score Card'!C33</f>
        <v>0.41</v>
      </c>
      <c r="D37" s="15">
        <v>0.35</v>
      </c>
      <c r="E37" s="31" t="s">
        <v>115</v>
      </c>
      <c r="F37" s="51">
        <v>1</v>
      </c>
      <c r="G37" s="49">
        <f>+C37/D37</f>
        <v>1.1714285714285715</v>
      </c>
      <c r="H37" s="21" t="s">
        <v>490</v>
      </c>
      <c r="I37" s="93" t="str">
        <f>+IF(J37="better",M$10,IF(J37="worse",L$10,N$10))</f>
        <v>é</v>
      </c>
      <c r="J37" s="10" t="str">
        <f>IF(K37&lt;M37,"worse",IF(K37&gt;N37,"better","equal to"))</f>
        <v>better</v>
      </c>
      <c r="K37" s="10">
        <f>+C37/D37-1</f>
        <v>0.17142857142857149</v>
      </c>
      <c r="L37" s="10">
        <v>0.03</v>
      </c>
      <c r="M37" s="10">
        <v>-0.03</v>
      </c>
      <c r="N37" s="10">
        <v>0.03</v>
      </c>
    </row>
    <row r="38" spans="1:14" ht="13.15">
      <c r="A38">
        <v>33</v>
      </c>
      <c r="C38" s="2"/>
      <c r="D38" s="2"/>
      <c r="E38" s="2"/>
      <c r="F38" s="51">
        <v>1</v>
      </c>
      <c r="G38" s="51">
        <v>0</v>
      </c>
      <c r="H38" s="2"/>
    </row>
    <row r="39" spans="1:14">
      <c r="A39">
        <v>34</v>
      </c>
      <c r="B39" s="162" t="s">
        <v>140</v>
      </c>
      <c r="C39" s="163">
        <f>+'WPI Score Card'!C35</f>
        <v>5480.7318022576874</v>
      </c>
      <c r="D39" s="163">
        <v>3915.2241369216063</v>
      </c>
      <c r="E39" s="32" t="s">
        <v>114</v>
      </c>
      <c r="F39" s="51">
        <v>1</v>
      </c>
      <c r="G39" s="49">
        <f>1/(C39/D39)</f>
        <v>0.71436156305054022</v>
      </c>
      <c r="I39" s="93" t="str">
        <f>+IF(J39="better",M$10,IF(J39="worse",L$10,N$10))</f>
        <v>ê</v>
      </c>
      <c r="J39" s="10" t="str">
        <f>IF(K39&gt;N39,"worse",IF(K39&lt;M39,"better","equal to"))</f>
        <v>worse</v>
      </c>
      <c r="K39" s="10">
        <f>+C39/D39-1</f>
        <v>0.39985135220559331</v>
      </c>
      <c r="L39" s="66">
        <v>100</v>
      </c>
      <c r="M39" s="10">
        <v>-8.7819999999999995E-2</v>
      </c>
      <c r="N39" s="10">
        <v>8.7819999999999995E-2</v>
      </c>
    </row>
    <row r="40" spans="1:14" ht="13.15">
      <c r="A40">
        <v>35</v>
      </c>
      <c r="C40" s="2"/>
      <c r="D40" s="2"/>
      <c r="E40" s="2"/>
      <c r="F40" s="51">
        <v>1</v>
      </c>
      <c r="G40" s="51">
        <v>0</v>
      </c>
      <c r="H40" s="2"/>
    </row>
    <row r="41" spans="1:14">
      <c r="A41">
        <v>36</v>
      </c>
      <c r="B41" s="162" t="s">
        <v>155</v>
      </c>
      <c r="C41" s="15">
        <f>+'WPI Score Card'!C36</f>
        <v>0.56999999999999995</v>
      </c>
      <c r="D41" s="15">
        <v>0.49</v>
      </c>
      <c r="E41" s="31" t="s">
        <v>115</v>
      </c>
      <c r="F41" s="51">
        <v>1</v>
      </c>
      <c r="G41" s="49">
        <f>+C41/D41</f>
        <v>1.1632653061224489</v>
      </c>
      <c r="H41" s="21" t="s">
        <v>490</v>
      </c>
      <c r="I41" s="93" t="str">
        <f>+IF(J41="better",M$10,IF(J41="worse",L$10,N$10))</f>
        <v>é</v>
      </c>
      <c r="J41" s="10" t="str">
        <f>IF(K41&lt;M41,"worse",IF(K41&gt;N41,"better","equal to"))</f>
        <v>better</v>
      </c>
      <c r="K41" s="10">
        <f>+C41/D41-1</f>
        <v>0.16326530612244894</v>
      </c>
      <c r="L41" s="10">
        <v>0.03</v>
      </c>
      <c r="M41" s="10">
        <v>-0.03</v>
      </c>
      <c r="N41" s="10">
        <v>0.03</v>
      </c>
    </row>
    <row r="42" spans="1:14" ht="13.15">
      <c r="A42">
        <v>37</v>
      </c>
      <c r="C42" s="2"/>
      <c r="D42" s="2"/>
      <c r="E42" s="2"/>
      <c r="F42" s="51">
        <v>1</v>
      </c>
      <c r="G42" s="51">
        <v>0</v>
      </c>
      <c r="H42" s="2"/>
    </row>
    <row r="43" spans="1:14">
      <c r="A43">
        <v>38</v>
      </c>
      <c r="B43" s="162" t="s">
        <v>36</v>
      </c>
      <c r="C43" s="10">
        <f>+'WPI Score Card'!C37</f>
        <v>5.9000000000000004E-2</v>
      </c>
      <c r="D43" s="10">
        <v>0.04</v>
      </c>
      <c r="E43" s="31" t="s">
        <v>115</v>
      </c>
      <c r="F43" s="51">
        <v>1</v>
      </c>
      <c r="G43" s="49">
        <f>+C43/D43</f>
        <v>1.4750000000000001</v>
      </c>
      <c r="H43" t="s">
        <v>424</v>
      </c>
      <c r="I43" s="93" t="str">
        <f>+IF(J43="better",M$10,IF(J43="worse",L$10,N$10))</f>
        <v>é</v>
      </c>
      <c r="J43" s="10" t="str">
        <f>IF(K43&lt;M43,"worse",IF(K43&gt;N43,"better","equal to"))</f>
        <v>better</v>
      </c>
      <c r="K43" s="10">
        <f>+C43/D43-1</f>
        <v>0.47500000000000009</v>
      </c>
      <c r="L43" s="10">
        <v>0.01</v>
      </c>
      <c r="M43" s="10">
        <v>-0.01</v>
      </c>
      <c r="N43" s="10">
        <v>0.01</v>
      </c>
    </row>
    <row r="44" spans="1:14" ht="13.15">
      <c r="A44">
        <v>39</v>
      </c>
      <c r="C44" s="2"/>
      <c r="D44" s="2"/>
      <c r="E44" s="2"/>
      <c r="F44" s="51">
        <v>1</v>
      </c>
      <c r="G44" s="51">
        <v>0</v>
      </c>
      <c r="H44" s="2"/>
    </row>
    <row r="45" spans="1:14">
      <c r="A45">
        <v>40</v>
      </c>
      <c r="B45" s="162" t="s">
        <v>82</v>
      </c>
      <c r="C45" s="10">
        <f>+'WPI Score Card'!C38</f>
        <v>0.3801842428653176</v>
      </c>
      <c r="D45" s="10">
        <v>0.42184191484136574</v>
      </c>
      <c r="E45" s="31" t="s">
        <v>115</v>
      </c>
      <c r="F45" s="51">
        <v>1</v>
      </c>
      <c r="G45" s="49">
        <f>+C45/D45</f>
        <v>0.90124814412594922</v>
      </c>
      <c r="I45" s="93" t="str">
        <f>+IF(J45="better",M$10,IF(J45="worse",L$10,N$10))</f>
        <v>§</v>
      </c>
      <c r="J45" s="10" t="str">
        <f>IF(K45&lt;M45,"worse",IF(K45&gt;N45,"better","equal to"))</f>
        <v>equal to</v>
      </c>
      <c r="K45" s="10">
        <f>+C45/D45-1</f>
        <v>-9.8751855874050776E-2</v>
      </c>
      <c r="L45" s="10">
        <v>0.1</v>
      </c>
      <c r="M45" s="10">
        <v>-0.1</v>
      </c>
      <c r="N45" s="10">
        <v>0.1</v>
      </c>
    </row>
    <row r="46" spans="1:14" ht="13.15">
      <c r="A46">
        <v>41</v>
      </c>
      <c r="C46" s="2"/>
      <c r="D46" s="2"/>
      <c r="E46" s="2"/>
      <c r="F46" s="51">
        <v>1</v>
      </c>
      <c r="G46" s="51">
        <v>0</v>
      </c>
      <c r="H46" s="2"/>
    </row>
    <row r="47" spans="1:14">
      <c r="A47">
        <v>42</v>
      </c>
      <c r="B47" s="162" t="s">
        <v>72</v>
      </c>
      <c r="C47" s="10">
        <f>+'WPI Score Card'!C45</f>
        <v>0.70299999999999996</v>
      </c>
      <c r="D47" s="10">
        <v>0.80100000000000005</v>
      </c>
      <c r="E47" s="31" t="s">
        <v>115</v>
      </c>
      <c r="F47" s="49">
        <f>+D47/D47</f>
        <v>1</v>
      </c>
      <c r="G47" s="49">
        <f>+C47/D47</f>
        <v>0.87765293383270904</v>
      </c>
      <c r="I47" s="93" t="str">
        <f>+IF(J47="better",M$10,IF(J47="worse",L$10,N$10))</f>
        <v>ê</v>
      </c>
      <c r="J47" s="10" t="str">
        <f>IF(K47&lt;M47,"worse",IF(K47&gt;N47,"better","equal to"))</f>
        <v>worse</v>
      </c>
      <c r="K47" s="10">
        <f>+C47/D47-1</f>
        <v>-0.12234706616729096</v>
      </c>
      <c r="L47" s="10">
        <v>0.03</v>
      </c>
      <c r="M47" s="10">
        <v>-0.03</v>
      </c>
      <c r="N47" s="10">
        <v>0.03</v>
      </c>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sheetData>
  <autoFilter ref="A11:N47" xr:uid="{00000000-0009-0000-0000-000026000000}">
    <sortState xmlns:xlrd2="http://schemas.microsoft.com/office/spreadsheetml/2017/richdata2" ref="A12:N47">
      <sortCondition ref="A11:A47"/>
    </sortState>
  </autoFilter>
  <phoneticPr fontId="2" type="noConversion"/>
  <hyperlinks>
    <hyperlink ref="B1" location="Index!A1" display="Return to Index" xr:uid="{00000000-0004-0000-2600-000000000000}"/>
    <hyperlink ref="B27" location="'Educational attainment'!A1" display="Educational attainment of the adult population" xr:uid="{00000000-0004-0000-2600-000001000000}"/>
    <hyperlink ref="B25" location="Crime!A1" display="Crime" xr:uid="{00000000-0004-0000-2600-000003000000}"/>
    <hyperlink ref="B33" location="'Life expectancy'!A1" display="Life expectancy at birth" xr:uid="{00000000-0004-0000-2600-000004000000}"/>
    <hyperlink ref="B35" location="'Life satisfaction'!A1" display="Life satisfaction" xr:uid="{00000000-0004-0000-2600-000006000000}"/>
    <hyperlink ref="B41" location="'Social connectedness'!A1" display="Social connectedness" xr:uid="{00000000-0004-0000-2600-000007000000}"/>
    <hyperlink ref="B43" location="'Te Reo Māori speakers'!A1" display="Te Reo Māori speakers" xr:uid="{00000000-0004-0000-2600-000008000000}"/>
    <hyperlink ref="B19" location="'Regional GDP'!A1" display="Regional GDP" xr:uid="{00000000-0004-0000-2600-000009000000}"/>
    <hyperlink ref="B17" location="Income!A1" display="Income" xr:uid="{00000000-0004-0000-2600-00000A000000}"/>
    <hyperlink ref="B47" location="Recycling!A1" display="Recycling" xr:uid="{00000000-0004-0000-2600-00000B000000}"/>
    <hyperlink ref="B45" location="'Voter turnout'!A1" display="Voter turnout in local elections" xr:uid="{00000000-0004-0000-2600-00000C000000}"/>
    <hyperlink ref="B29" location="'Housing affordability'!A1" display="Housing affordability" xr:uid="{00000000-0004-0000-2600-00000D000000}"/>
    <hyperlink ref="B15" location="Employment!A1" display="Employment" xr:uid="{00000000-0004-0000-2600-00000E000000}"/>
    <hyperlink ref="B39" location="'Road safety'!A1" display="Road safety" xr:uid="{00000000-0004-0000-2600-00000F000000}"/>
    <hyperlink ref="B31" location="'Income inequality'!A1" display="Income inequality" xr:uid="{00000000-0004-0000-2600-000010000000}"/>
    <hyperlink ref="B37" location="'Physical activity'!A1" display="Physical activity" xr:uid="{00000000-0004-0000-2600-000011000000}"/>
    <hyperlink ref="B9" location="'WPI time series'!A1" display="WPI time series" xr:uid="{00000000-0004-0000-2600-000012000000}"/>
    <hyperlink ref="B23" location="'Community pride'!A1" display="Community pride" xr:uid="{00000000-0004-0000-2600-000013000000}"/>
    <hyperlink ref="B21" location="'Community engagement'!A1" display="Community engagement" xr:uid="{00000000-0004-0000-2600-000015000000}"/>
    <hyperlink ref="B13" location="'Building activity'!A1" display="Building activity" xr:uid="{7270CB4A-FCDA-4396-9826-49D0BF37EF0A}"/>
  </hyperlinks>
  <pageMargins left="0.75" right="0.75" top="1" bottom="1" header="0.5" footer="0.5"/>
  <headerFooter alignWithMargins="0"/>
  <drawing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69"/>
  <sheetViews>
    <sheetView workbookViewId="0"/>
  </sheetViews>
  <sheetFormatPr defaultRowHeight="12.75"/>
  <cols>
    <col min="1" max="1" width="23.6640625" customWidth="1"/>
    <col min="2" max="2" width="13.46484375" bestFit="1" customWidth="1"/>
    <col min="3" max="3" width="9.53125" bestFit="1" customWidth="1"/>
  </cols>
  <sheetData>
    <row r="1" spans="1:24">
      <c r="A1" s="1" t="s">
        <v>106</v>
      </c>
    </row>
    <row r="3" spans="1:24" ht="22.15">
      <c r="A3" s="34" t="s">
        <v>372</v>
      </c>
    </row>
    <row r="4" spans="1:24">
      <c r="A4" s="14" t="s">
        <v>373</v>
      </c>
    </row>
    <row r="5" spans="1:24">
      <c r="A5" s="123" t="s">
        <v>405</v>
      </c>
    </row>
    <row r="6" spans="1:24">
      <c r="A6" s="123"/>
      <c r="W6" s="132" t="s">
        <v>404</v>
      </c>
    </row>
    <row r="7" spans="1:24" ht="13.15">
      <c r="B7" s="2">
        <v>2001</v>
      </c>
      <c r="C7" s="2">
        <v>2002</v>
      </c>
      <c r="D7" s="2">
        <v>2003</v>
      </c>
      <c r="E7" s="2">
        <v>2004</v>
      </c>
      <c r="F7" s="2">
        <v>2005</v>
      </c>
      <c r="G7" s="2">
        <v>2006</v>
      </c>
      <c r="H7" s="2">
        <v>2007</v>
      </c>
      <c r="I7" s="2">
        <v>2008</v>
      </c>
      <c r="J7" s="2">
        <v>2009</v>
      </c>
      <c r="K7" s="2">
        <v>2010</v>
      </c>
      <c r="L7" s="2">
        <v>2011</v>
      </c>
      <c r="M7" s="2">
        <v>2012</v>
      </c>
      <c r="N7" s="2">
        <v>2013</v>
      </c>
      <c r="O7" s="2">
        <v>2014</v>
      </c>
      <c r="P7" s="2">
        <v>2015</v>
      </c>
      <c r="Q7" s="2">
        <v>2016</v>
      </c>
      <c r="R7" s="2">
        <v>2017</v>
      </c>
      <c r="S7" s="2">
        <v>2018</v>
      </c>
      <c r="T7" s="2">
        <v>2019</v>
      </c>
      <c r="U7" s="2">
        <v>2020</v>
      </c>
      <c r="V7" s="2">
        <v>2021</v>
      </c>
      <c r="W7" s="2">
        <v>2022</v>
      </c>
      <c r="X7" s="2">
        <v>2023</v>
      </c>
    </row>
    <row r="8" spans="1:24">
      <c r="A8" s="14" t="s">
        <v>374</v>
      </c>
      <c r="B8" s="61">
        <f>+B41</f>
        <v>100</v>
      </c>
      <c r="C8" s="61">
        <f t="shared" ref="C8:R8" si="0">+C41</f>
        <v>106.0512536966893</v>
      </c>
      <c r="D8" s="61">
        <f t="shared" si="0"/>
        <v>101.59395575988823</v>
      </c>
      <c r="E8" s="61">
        <f t="shared" si="0"/>
        <v>105.71453008528013</v>
      </c>
      <c r="F8" s="61">
        <f t="shared" si="0"/>
        <v>106.61613796980407</v>
      </c>
      <c r="G8" s="61">
        <f t="shared" si="0"/>
        <v>111.2740549183726</v>
      </c>
      <c r="H8" s="61">
        <f t="shared" si="0"/>
        <v>117.41813394269111</v>
      </c>
      <c r="I8" s="61">
        <f t="shared" si="0"/>
        <v>117.02632904651213</v>
      </c>
      <c r="J8" s="61">
        <f t="shared" si="0"/>
        <v>119.44043840210816</v>
      </c>
      <c r="K8" s="61">
        <f t="shared" si="0"/>
        <v>114.89621323284783</v>
      </c>
      <c r="L8" s="61">
        <f t="shared" si="0"/>
        <v>115.61463551017799</v>
      </c>
      <c r="M8" s="61">
        <f t="shared" si="0"/>
        <v>121.48303920355964</v>
      </c>
      <c r="N8" s="61">
        <f t="shared" si="0"/>
        <v>117.94334589193363</v>
      </c>
      <c r="O8" s="61">
        <f t="shared" si="0"/>
        <v>122.32125873156843</v>
      </c>
      <c r="P8" s="61">
        <f t="shared" si="0"/>
        <v>121.41444123852864</v>
      </c>
      <c r="Q8" s="61">
        <f t="shared" si="0"/>
        <v>121.08723126566869</v>
      </c>
      <c r="R8" s="61">
        <f t="shared" si="0"/>
        <v>122.07148216273778</v>
      </c>
      <c r="S8" s="61">
        <f t="shared" ref="S8:T8" si="1">+S41</f>
        <v>127.72090764454562</v>
      </c>
      <c r="T8" s="61">
        <f t="shared" si="1"/>
        <v>132.8394166377592</v>
      </c>
      <c r="U8" s="61">
        <f t="shared" ref="U8:V8" si="2">+U41</f>
        <v>133.19678323382479</v>
      </c>
      <c r="V8" s="61">
        <f t="shared" si="2"/>
        <v>134.00166401531681</v>
      </c>
      <c r="W8" s="61">
        <f t="shared" ref="W8:X8" si="3">+W41</f>
        <v>136.12266305010041</v>
      </c>
      <c r="X8" s="61">
        <f t="shared" si="3"/>
        <v>137.53010816688891</v>
      </c>
    </row>
    <row r="9" spans="1:24">
      <c r="A9" s="21" t="s">
        <v>463</v>
      </c>
      <c r="B9" s="61">
        <f>+AVERAGE(B38:B69)</f>
        <v>100</v>
      </c>
      <c r="C9" s="61">
        <f t="shared" ref="C9:U9" si="4">+AVERAGE(C38:C69)</f>
        <v>100.59990630978915</v>
      </c>
      <c r="D9" s="61">
        <f t="shared" si="4"/>
        <v>100.69903216326252</v>
      </c>
      <c r="E9" s="61">
        <f t="shared" si="4"/>
        <v>100.73503657601486</v>
      </c>
      <c r="F9" s="61">
        <f t="shared" si="4"/>
        <v>102.20639832727191</v>
      </c>
      <c r="G9" s="61">
        <f t="shared" si="4"/>
        <v>101.86254225633759</v>
      </c>
      <c r="H9" s="61">
        <f t="shared" si="4"/>
        <v>104.66629727687632</v>
      </c>
      <c r="I9" s="61">
        <f t="shared" si="4"/>
        <v>104.47164107237222</v>
      </c>
      <c r="J9" s="61">
        <f t="shared" si="4"/>
        <v>105.03919926688174</v>
      </c>
      <c r="K9" s="61">
        <f t="shared" si="4"/>
        <v>105.96015089714876</v>
      </c>
      <c r="L9" s="61">
        <f t="shared" si="4"/>
        <v>104.48627567141527</v>
      </c>
      <c r="M9" s="61">
        <f t="shared" si="4"/>
        <v>105.10790938328007</v>
      </c>
      <c r="N9" s="61">
        <f t="shared" si="4"/>
        <v>107.80158241933265</v>
      </c>
      <c r="O9" s="61">
        <f t="shared" si="4"/>
        <v>107.65153418511333</v>
      </c>
      <c r="P9" s="61">
        <f t="shared" si="4"/>
        <v>108.38397488315417</v>
      </c>
      <c r="Q9" s="61">
        <f t="shared" si="4"/>
        <v>114.16726902481005</v>
      </c>
      <c r="R9" s="61">
        <f t="shared" si="4"/>
        <v>107.30765735273434</v>
      </c>
      <c r="S9" s="61">
        <f t="shared" si="4"/>
        <v>113.48121332222236</v>
      </c>
      <c r="T9" s="61">
        <f t="shared" si="4"/>
        <v>107.07595950906583</v>
      </c>
      <c r="U9" s="61">
        <f t="shared" si="4"/>
        <v>104.20215026405549</v>
      </c>
      <c r="V9" s="61">
        <f t="shared" ref="V9:X9" si="5">+AVERAGE(V38:V69)</f>
        <v>103.33865698863863</v>
      </c>
      <c r="W9" s="61">
        <f t="shared" si="5"/>
        <v>101.21049891961118</v>
      </c>
      <c r="X9" s="61">
        <f t="shared" si="5"/>
        <v>99.334739747813373</v>
      </c>
    </row>
    <row r="10" spans="1:24">
      <c r="A10" s="14"/>
      <c r="B10" s="61"/>
      <c r="C10" s="61"/>
      <c r="D10" s="61"/>
      <c r="E10" s="61"/>
      <c r="F10" s="61"/>
      <c r="G10" s="61"/>
      <c r="H10" s="61"/>
      <c r="I10" s="61"/>
      <c r="J10" s="61"/>
      <c r="K10" s="61"/>
      <c r="L10" s="61"/>
      <c r="M10" s="61"/>
      <c r="N10" s="61"/>
      <c r="O10" s="61"/>
      <c r="P10" s="61"/>
      <c r="Q10" s="61"/>
      <c r="R10" s="61"/>
    </row>
    <row r="11" spans="1:24">
      <c r="A11" s="14"/>
      <c r="B11" s="61"/>
      <c r="C11" s="61"/>
      <c r="D11" s="61"/>
      <c r="E11" s="61"/>
      <c r="F11" s="61"/>
      <c r="G11" s="61"/>
      <c r="H11" s="61"/>
      <c r="I11" s="61"/>
      <c r="J11" s="61"/>
      <c r="K11" s="61"/>
      <c r="L11" s="61"/>
      <c r="M11" s="61"/>
      <c r="N11" s="61"/>
      <c r="O11" s="61"/>
      <c r="P11" s="61"/>
      <c r="Q11" s="61"/>
      <c r="R11" s="61"/>
    </row>
    <row r="12" spans="1:24">
      <c r="A12" s="14"/>
      <c r="B12" s="61"/>
      <c r="C12" s="61"/>
      <c r="D12" s="61"/>
      <c r="E12" s="61"/>
      <c r="F12" s="61"/>
      <c r="G12" s="61"/>
      <c r="H12" s="61"/>
      <c r="I12" s="61"/>
      <c r="J12" s="61"/>
      <c r="K12" s="61"/>
      <c r="L12" s="61"/>
      <c r="M12" s="61"/>
      <c r="N12" s="61"/>
      <c r="O12" s="61"/>
      <c r="P12" s="61"/>
      <c r="Q12" s="61"/>
      <c r="R12" s="61"/>
    </row>
    <row r="13" spans="1:24">
      <c r="A13" s="14"/>
      <c r="B13" s="61"/>
      <c r="C13" s="61"/>
      <c r="D13" s="61"/>
      <c r="E13" s="61"/>
      <c r="F13" s="61"/>
      <c r="G13" s="61"/>
      <c r="H13" s="61"/>
      <c r="I13" s="61"/>
      <c r="J13" s="61"/>
      <c r="K13" s="61"/>
      <c r="L13" s="61"/>
      <c r="M13" s="61"/>
      <c r="N13" s="61"/>
      <c r="O13" s="61"/>
      <c r="P13" s="61"/>
      <c r="Q13" s="61"/>
      <c r="R13" s="61"/>
    </row>
    <row r="14" spans="1:24">
      <c r="A14" s="14"/>
      <c r="B14" s="61"/>
      <c r="C14" s="61"/>
      <c r="D14" s="61"/>
      <c r="E14" s="61"/>
      <c r="F14" s="61"/>
      <c r="G14" s="61"/>
      <c r="H14" s="61"/>
      <c r="I14" s="61"/>
      <c r="J14" s="61"/>
      <c r="K14" s="61"/>
      <c r="L14" s="61"/>
      <c r="M14" s="61"/>
      <c r="N14" s="61"/>
      <c r="O14" s="61"/>
      <c r="P14" s="61"/>
      <c r="Q14" s="61"/>
      <c r="R14" s="61"/>
    </row>
    <row r="15" spans="1:24">
      <c r="A15" s="14"/>
      <c r="B15" s="61"/>
      <c r="C15" s="61"/>
      <c r="D15" s="61"/>
      <c r="E15" s="61"/>
      <c r="F15" s="61"/>
      <c r="G15" s="61"/>
      <c r="H15" s="61"/>
      <c r="I15" s="61"/>
      <c r="J15" s="61"/>
      <c r="K15" s="61"/>
      <c r="L15" s="61"/>
      <c r="M15" s="61"/>
      <c r="N15" s="61"/>
      <c r="O15" s="61"/>
      <c r="P15" s="61"/>
      <c r="Q15" s="61"/>
      <c r="R15" s="61"/>
    </row>
    <row r="16" spans="1:24">
      <c r="A16" s="14"/>
      <c r="B16" s="61"/>
      <c r="C16" s="61"/>
      <c r="D16" s="61"/>
      <c r="E16" s="61"/>
      <c r="F16" s="61"/>
      <c r="G16" s="61"/>
      <c r="H16" s="61"/>
      <c r="I16" s="61"/>
      <c r="J16" s="61"/>
      <c r="K16" s="61"/>
      <c r="L16" s="61"/>
      <c r="M16" s="61"/>
      <c r="N16" s="61"/>
      <c r="O16" s="61"/>
      <c r="P16" s="61"/>
      <c r="Q16" s="61"/>
      <c r="R16" s="61"/>
    </row>
    <row r="17" spans="1:18">
      <c r="A17" s="14"/>
      <c r="B17" s="61"/>
      <c r="C17" s="61"/>
      <c r="D17" s="61"/>
      <c r="E17" s="61"/>
      <c r="F17" s="61"/>
      <c r="G17" s="61"/>
      <c r="H17" s="61"/>
      <c r="I17" s="61"/>
      <c r="J17" s="61"/>
      <c r="K17" s="61"/>
      <c r="L17" s="61"/>
      <c r="M17" s="61"/>
      <c r="N17" s="61"/>
      <c r="O17" s="61"/>
      <c r="P17" s="61"/>
      <c r="Q17" s="61"/>
      <c r="R17" s="61"/>
    </row>
    <row r="18" spans="1:18">
      <c r="A18" s="14"/>
      <c r="B18" s="61"/>
      <c r="C18" s="61"/>
      <c r="D18" s="61"/>
      <c r="E18" s="61"/>
      <c r="F18" s="61"/>
      <c r="G18" s="61"/>
      <c r="H18" s="61"/>
      <c r="I18" s="61"/>
      <c r="J18" s="61"/>
      <c r="K18" s="61"/>
      <c r="L18" s="61"/>
      <c r="M18" s="61"/>
      <c r="N18" s="61"/>
      <c r="O18" s="61"/>
      <c r="P18" s="61"/>
      <c r="Q18" s="61"/>
      <c r="R18" s="61"/>
    </row>
    <row r="19" spans="1:18">
      <c r="A19" s="14"/>
      <c r="B19" s="61"/>
      <c r="C19" s="61"/>
      <c r="D19" s="61"/>
      <c r="E19" s="61"/>
      <c r="F19" s="61"/>
      <c r="G19" s="61"/>
      <c r="H19" s="61"/>
      <c r="I19" s="61"/>
      <c r="J19" s="61"/>
      <c r="K19" s="61"/>
      <c r="L19" s="61"/>
      <c r="M19" s="61"/>
      <c r="N19" s="61"/>
      <c r="O19" s="61"/>
      <c r="P19" s="61"/>
      <c r="Q19" s="61"/>
      <c r="R19" s="61"/>
    </row>
    <row r="20" spans="1:18">
      <c r="A20" s="14"/>
      <c r="B20" s="61"/>
      <c r="C20" s="61"/>
      <c r="D20" s="61"/>
      <c r="E20" s="61"/>
      <c r="F20" s="61"/>
      <c r="G20" s="61"/>
      <c r="H20" s="61"/>
      <c r="I20" s="61"/>
      <c r="J20" s="61"/>
      <c r="K20" s="61"/>
      <c r="L20" s="61"/>
      <c r="M20" s="61"/>
      <c r="N20" s="61"/>
      <c r="O20" s="61"/>
      <c r="P20" s="61"/>
      <c r="Q20" s="61"/>
      <c r="R20" s="61"/>
    </row>
    <row r="21" spans="1:18">
      <c r="A21" s="14"/>
      <c r="B21" s="61"/>
      <c r="C21" s="61"/>
      <c r="D21" s="61"/>
      <c r="E21" s="61"/>
      <c r="F21" s="61"/>
      <c r="G21" s="61"/>
      <c r="H21" s="61"/>
      <c r="I21" s="61"/>
      <c r="J21" s="61"/>
      <c r="K21" s="61"/>
      <c r="L21" s="61"/>
      <c r="M21" s="61"/>
      <c r="N21" s="61"/>
      <c r="O21" s="61"/>
      <c r="P21" s="61"/>
      <c r="Q21" s="61"/>
      <c r="R21" s="61"/>
    </row>
    <row r="22" spans="1:18">
      <c r="A22" s="14"/>
      <c r="B22" s="61"/>
      <c r="C22" s="61"/>
      <c r="D22" s="61"/>
      <c r="E22" s="61"/>
      <c r="F22" s="61"/>
      <c r="G22" s="61"/>
      <c r="H22" s="61"/>
      <c r="I22" s="61"/>
      <c r="J22" s="61"/>
      <c r="K22" s="61"/>
      <c r="L22" s="61"/>
      <c r="M22" s="61"/>
      <c r="N22" s="61"/>
      <c r="O22" s="61"/>
      <c r="P22" s="61"/>
      <c r="Q22" s="61"/>
      <c r="R22" s="61"/>
    </row>
    <row r="23" spans="1:18">
      <c r="A23" s="14"/>
      <c r="B23" s="61"/>
      <c r="C23" s="61"/>
      <c r="D23" s="61"/>
      <c r="E23" s="61"/>
      <c r="F23" s="61"/>
      <c r="G23" s="61"/>
      <c r="H23" s="61"/>
      <c r="I23" s="61"/>
      <c r="J23" s="61"/>
      <c r="K23" s="61"/>
      <c r="L23" s="61"/>
      <c r="M23" s="61"/>
      <c r="N23" s="61"/>
      <c r="O23" s="61"/>
      <c r="P23" s="61"/>
      <c r="Q23" s="61"/>
      <c r="R23" s="61"/>
    </row>
    <row r="24" spans="1:18">
      <c r="A24" s="14"/>
      <c r="B24" s="61"/>
      <c r="C24" s="61"/>
      <c r="D24" s="61"/>
      <c r="E24" s="61"/>
      <c r="F24" s="61"/>
      <c r="G24" s="61"/>
      <c r="H24" s="61"/>
      <c r="I24" s="61"/>
      <c r="J24" s="61"/>
      <c r="K24" s="61"/>
      <c r="L24" s="61"/>
      <c r="M24" s="61"/>
      <c r="N24" s="61"/>
      <c r="O24" s="61"/>
      <c r="P24" s="61"/>
      <c r="Q24" s="61"/>
      <c r="R24" s="61"/>
    </row>
    <row r="25" spans="1:18">
      <c r="A25" s="14"/>
      <c r="B25" s="61"/>
      <c r="C25" s="61"/>
      <c r="D25" s="61"/>
      <c r="E25" s="61"/>
      <c r="F25" s="61"/>
      <c r="G25" s="61"/>
      <c r="H25" s="61"/>
      <c r="I25" s="61"/>
      <c r="J25" s="61"/>
      <c r="K25" s="61"/>
      <c r="L25" s="61"/>
      <c r="M25" s="61"/>
      <c r="N25" s="61"/>
      <c r="O25" s="61"/>
      <c r="P25" s="61"/>
      <c r="Q25" s="61"/>
      <c r="R25" s="61"/>
    </row>
    <row r="26" spans="1:18">
      <c r="A26" s="14"/>
      <c r="B26" s="61"/>
      <c r="C26" s="61"/>
      <c r="D26" s="61"/>
      <c r="E26" s="61"/>
      <c r="F26" s="61"/>
      <c r="G26" s="61"/>
      <c r="H26" s="61"/>
      <c r="I26" s="61"/>
      <c r="J26" s="61"/>
      <c r="K26" s="61"/>
      <c r="L26" s="61"/>
      <c r="M26" s="61"/>
      <c r="N26" s="61"/>
      <c r="O26" s="61"/>
      <c r="P26" s="61"/>
      <c r="Q26" s="61"/>
      <c r="R26" s="61"/>
    </row>
    <row r="27" spans="1:18">
      <c r="A27" s="14"/>
      <c r="B27" s="61"/>
      <c r="C27" s="61"/>
      <c r="D27" s="61"/>
      <c r="E27" s="61"/>
      <c r="F27" s="61"/>
      <c r="G27" s="61"/>
      <c r="H27" s="61"/>
      <c r="I27" s="61"/>
      <c r="J27" s="61"/>
      <c r="K27" s="61"/>
      <c r="L27" s="61"/>
      <c r="M27" s="61"/>
      <c r="N27" s="61"/>
      <c r="O27" s="61"/>
      <c r="P27" s="61"/>
      <c r="Q27" s="61"/>
      <c r="R27" s="61"/>
    </row>
    <row r="28" spans="1:18">
      <c r="A28" s="14"/>
      <c r="B28" s="61"/>
      <c r="C28" s="61"/>
      <c r="D28" s="61"/>
      <c r="E28" s="61"/>
      <c r="F28" s="61"/>
      <c r="G28" s="61"/>
      <c r="H28" s="61"/>
      <c r="I28" s="61"/>
      <c r="J28" s="61"/>
      <c r="K28" s="61"/>
      <c r="L28" s="61"/>
      <c r="M28" s="61"/>
      <c r="N28" s="61"/>
      <c r="O28" s="61"/>
      <c r="P28" s="61"/>
      <c r="Q28" s="61"/>
      <c r="R28" s="61"/>
    </row>
    <row r="29" spans="1:18">
      <c r="A29" s="14"/>
      <c r="B29" s="61"/>
      <c r="C29" s="61"/>
      <c r="D29" s="61"/>
      <c r="E29" s="61"/>
      <c r="F29" s="61"/>
      <c r="G29" s="61"/>
      <c r="H29" s="61"/>
      <c r="I29" s="61"/>
      <c r="J29" s="61"/>
      <c r="K29" s="61"/>
      <c r="L29" s="61"/>
      <c r="M29" s="61"/>
      <c r="N29" s="61"/>
      <c r="O29" s="61"/>
      <c r="P29" s="61"/>
      <c r="Q29" s="61"/>
      <c r="R29" s="61"/>
    </row>
    <row r="30" spans="1:18">
      <c r="A30" s="14"/>
      <c r="B30" s="61"/>
      <c r="C30" s="61"/>
      <c r="D30" s="61"/>
      <c r="E30" s="61"/>
      <c r="F30" s="61"/>
      <c r="G30" s="61"/>
      <c r="H30" s="61"/>
      <c r="I30" s="61"/>
      <c r="J30" s="61"/>
      <c r="K30" s="61"/>
      <c r="L30" s="61"/>
      <c r="M30" s="61"/>
      <c r="N30" s="61"/>
      <c r="O30" s="61"/>
      <c r="P30" s="61"/>
      <c r="Q30" s="61"/>
      <c r="R30" s="61"/>
    </row>
    <row r="31" spans="1:18">
      <c r="A31" s="14"/>
      <c r="B31" s="61"/>
      <c r="C31" s="61"/>
      <c r="D31" s="61"/>
      <c r="E31" s="61"/>
      <c r="F31" s="61"/>
      <c r="G31" s="61"/>
      <c r="H31" s="61"/>
      <c r="I31" s="61"/>
      <c r="J31" s="61"/>
      <c r="K31" s="61"/>
      <c r="L31" s="61"/>
      <c r="M31" s="61"/>
      <c r="N31" s="61"/>
      <c r="O31" s="61"/>
      <c r="P31" s="61"/>
      <c r="Q31" s="61"/>
      <c r="R31" s="61"/>
    </row>
    <row r="32" spans="1:18">
      <c r="A32" s="14"/>
      <c r="B32" s="61"/>
      <c r="C32" s="61"/>
      <c r="D32" s="61"/>
      <c r="E32" s="61"/>
      <c r="F32" s="61"/>
      <c r="G32" s="61"/>
      <c r="H32" s="61"/>
      <c r="I32" s="61"/>
      <c r="J32" s="61"/>
      <c r="K32" s="61"/>
      <c r="L32" s="61"/>
      <c r="M32" s="61"/>
      <c r="N32" s="61"/>
      <c r="O32" s="61"/>
      <c r="P32" s="61"/>
      <c r="Q32" s="61"/>
      <c r="R32" s="61"/>
    </row>
    <row r="33" spans="1:24">
      <c r="A33" s="14"/>
      <c r="B33" s="61"/>
      <c r="C33" s="61"/>
      <c r="D33" s="61"/>
      <c r="E33" s="61"/>
      <c r="F33" s="61"/>
      <c r="G33" s="61"/>
      <c r="H33" s="61"/>
      <c r="I33" s="61"/>
      <c r="J33" s="61"/>
      <c r="K33" s="61"/>
      <c r="L33" s="61"/>
      <c r="M33" s="61"/>
      <c r="N33" s="61"/>
      <c r="O33" s="61"/>
      <c r="P33" s="61"/>
      <c r="Q33" s="61"/>
      <c r="R33" s="61"/>
    </row>
    <row r="35" spans="1:24" ht="13.15">
      <c r="W35" s="126" t="s">
        <v>541</v>
      </c>
    </row>
    <row r="37" spans="1:24" ht="13.15">
      <c r="A37" s="2" t="s">
        <v>376</v>
      </c>
      <c r="B37" s="2">
        <v>2001</v>
      </c>
      <c r="C37" s="2">
        <v>2002</v>
      </c>
      <c r="D37" s="2">
        <v>2003</v>
      </c>
      <c r="E37" s="2">
        <v>2004</v>
      </c>
      <c r="F37" s="2">
        <v>2005</v>
      </c>
      <c r="G37" s="2">
        <v>2006</v>
      </c>
      <c r="H37" s="2">
        <v>2007</v>
      </c>
      <c r="I37" s="2">
        <v>2008</v>
      </c>
      <c r="J37" s="2">
        <v>2009</v>
      </c>
      <c r="K37" s="2">
        <v>2010</v>
      </c>
      <c r="L37" s="2">
        <v>2011</v>
      </c>
      <c r="M37" s="2">
        <v>2012</v>
      </c>
      <c r="N37" s="2">
        <v>2013</v>
      </c>
      <c r="O37" s="2">
        <v>2014</v>
      </c>
      <c r="P37" s="2">
        <v>2015</v>
      </c>
      <c r="Q37" s="2">
        <v>2016</v>
      </c>
      <c r="R37" s="2">
        <v>2017</v>
      </c>
      <c r="S37" s="2">
        <v>2018</v>
      </c>
      <c r="T37" s="2">
        <v>2019</v>
      </c>
      <c r="U37" s="2">
        <v>2020</v>
      </c>
      <c r="V37" s="2">
        <v>2021</v>
      </c>
      <c r="W37" s="2">
        <v>2022</v>
      </c>
      <c r="X37" s="2">
        <v>2023</v>
      </c>
    </row>
    <row r="38" spans="1:24">
      <c r="A38" t="str">
        <f>+'WPI time series'!A19</f>
        <v>Building activity</v>
      </c>
      <c r="B38">
        <f>+'WPI time series'!B19/'WPI time series'!B19*100</f>
        <v>100</v>
      </c>
      <c r="C38" s="61">
        <f>+B38*('WPI time series'!C19/'WPI time series'!B19)</f>
        <v>103.14933149361281</v>
      </c>
      <c r="D38" s="61">
        <f>+C38*('WPI time series'!D19/'WPI time series'!C19)</f>
        <v>140.71498786294853</v>
      </c>
      <c r="E38" s="61">
        <f>+D38*('WPI time series'!E19/'WPI time series'!D19)</f>
        <v>156.54758750580467</v>
      </c>
      <c r="F38" s="61">
        <f>+E38*('WPI time series'!F19/'WPI time series'!E19)</f>
        <v>194.06325763279216</v>
      </c>
      <c r="G38" s="61">
        <f>+F38*('WPI time series'!G19/'WPI time series'!F19)</f>
        <v>170.75740187361762</v>
      </c>
      <c r="H38" s="61">
        <f>+G38*('WPI time series'!H19/'WPI time series'!G19)</f>
        <v>176.20551154169314</v>
      </c>
      <c r="I38" s="61">
        <f>+H38*('WPI time series'!I19/'WPI time series'!H19)</f>
        <v>144.32347877687238</v>
      </c>
      <c r="J38" s="61">
        <f>+I38*('WPI time series'!J19/'WPI time series'!I19)</f>
        <v>113.06990871265172</v>
      </c>
      <c r="K38" s="61">
        <f>+J38*('WPI time series'!K19/'WPI time series'!J19)</f>
        <v>115.64152331095985</v>
      </c>
      <c r="L38" s="61">
        <f>+K38*('WPI time series'!L19/'WPI time series'!K19)</f>
        <v>91.693209336460384</v>
      </c>
      <c r="M38" s="61">
        <f>+L38*('WPI time series'!M19/'WPI time series'!L19)</f>
        <v>104.66940420418784</v>
      </c>
      <c r="N38" s="61">
        <f>+M38*('WPI time series'!N19/'WPI time series'!M19)</f>
        <v>113.61958857352923</v>
      </c>
      <c r="O38" s="61">
        <f>+N38*('WPI time series'!O19/'WPI time series'!N19)</f>
        <v>127.08562271695206</v>
      </c>
      <c r="P38" s="61">
        <f>+O38*('WPI time series'!P19/'WPI time series'!O19)</f>
        <v>154.03746584813067</v>
      </c>
      <c r="Q38" s="61">
        <f>+P38*('WPI time series'!Q19/'WPI time series'!P19)</f>
        <v>169.04318050330005</v>
      </c>
      <c r="R38" s="61">
        <f>+Q38*('WPI time series'!R19/'WPI time series'!Q19)</f>
        <v>178.33060759501629</v>
      </c>
      <c r="S38" s="61">
        <f>+R38*('WPI time series'!S19/'WPI time series'!R19)</f>
        <v>192.57548065809075</v>
      </c>
      <c r="T38" s="61">
        <f>+S38*('WPI time series'!T19/'WPI time series'!S19)</f>
        <v>215.20201908140368</v>
      </c>
      <c r="U38" s="61">
        <f>+T38*('WPI time series'!U19/'WPI time series'!T19)</f>
        <v>209.6054976959673</v>
      </c>
      <c r="V38" s="61">
        <f>+U38*('WPI time series'!V19/'WPI time series'!U19)</f>
        <v>250.66205004763614</v>
      </c>
      <c r="W38" s="61">
        <f>+V38*('WPI time series'!W19/'WPI time series'!V19)</f>
        <v>251.11736353428404</v>
      </c>
      <c r="X38" s="61">
        <f>+W38*('WPI time series'!X19/'WPI time series'!W19)</f>
        <v>181.96763776567204</v>
      </c>
    </row>
    <row r="39" spans="1:24">
      <c r="A39" t="str">
        <f>+'WPI time series'!A20</f>
        <v>Employment</v>
      </c>
      <c r="B39">
        <f>+'WPI time series'!B20/'WPI time series'!B20*100</f>
        <v>100</v>
      </c>
      <c r="C39" s="61">
        <f>+B39*('WPI time series'!C20/'WPI time series'!B20)</f>
        <v>104.34083601286174</v>
      </c>
      <c r="D39" s="61">
        <f>+C39*('WPI time series'!D20/'WPI time series'!C20)</f>
        <v>105.30546623794213</v>
      </c>
      <c r="E39" s="61">
        <f>+D39*('WPI time series'!E20/'WPI time series'!D20)</f>
        <v>105.62700964630224</v>
      </c>
      <c r="F39" s="61">
        <f>+E39*('WPI time series'!F20/'WPI time series'!E20)</f>
        <v>105.46623794212216</v>
      </c>
      <c r="G39" s="61">
        <f>+F39*('WPI time series'!G20/'WPI time series'!F20)</f>
        <v>107.2347266881029</v>
      </c>
      <c r="H39" s="61">
        <f>+G39*('WPI time series'!H20/'WPI time series'!G20)</f>
        <v>107.87781350482315</v>
      </c>
      <c r="I39" s="61">
        <f>+H39*('WPI time series'!I20/'WPI time series'!H20)</f>
        <v>107.39549839228296</v>
      </c>
      <c r="J39" s="61">
        <f>+I39*('WPI time series'!J20/'WPI time series'!I20)</f>
        <v>104.01929260450162</v>
      </c>
      <c r="K39" s="61">
        <f>+J39*('WPI time series'!K20/'WPI time series'!J20)</f>
        <v>102.25080385852091</v>
      </c>
      <c r="L39" s="61">
        <f>+K39*('WPI time series'!L20/'WPI time series'!K20)</f>
        <v>103.85852090032154</v>
      </c>
      <c r="M39" s="61">
        <f>+L39*('WPI time series'!M20/'WPI time series'!L20)</f>
        <v>100.48231511254021</v>
      </c>
      <c r="N39" s="61">
        <f>+M39*('WPI time series'!N20/'WPI time series'!M20)</f>
        <v>102.25080385852092</v>
      </c>
      <c r="O39" s="61">
        <f>+N39*('WPI time series'!O20/'WPI time series'!N20)</f>
        <v>103.21543408360132</v>
      </c>
      <c r="P39" s="61">
        <f>+O39*('WPI time series'!P20/'WPI time series'!O20)</f>
        <v>103.21543408360132</v>
      </c>
      <c r="Q39" s="61">
        <f>+P39*('WPI time series'!Q20/'WPI time series'!P20)</f>
        <v>104.82315112540198</v>
      </c>
      <c r="R39" s="61">
        <f>+Q39*('WPI time series'!R20/'WPI time series'!Q20)</f>
        <v>110.93247588424441</v>
      </c>
      <c r="S39" s="61">
        <f>+R39*('WPI time series'!S20/'WPI time series'!R20)</f>
        <v>112.54019292604507</v>
      </c>
      <c r="T39" s="61">
        <f>+S39*('WPI time series'!T20/'WPI time series'!S20)</f>
        <v>109.32475884244379</v>
      </c>
      <c r="U39" s="61">
        <f>+T39*('WPI time series'!U20/'WPI time series'!T20)</f>
        <v>107.87781350482318</v>
      </c>
      <c r="V39" s="61">
        <f>+U39*('WPI time series'!V20/'WPI time series'!U20)</f>
        <v>108.03858520900326</v>
      </c>
      <c r="W39" s="61">
        <f>+V39*('WPI time series'!W20/'WPI time series'!V20)</f>
        <v>107.87781350482317</v>
      </c>
      <c r="X39" s="61">
        <f>+W39*('WPI time series'!X20/'WPI time series'!W20)</f>
        <v>106.75241157556273</v>
      </c>
    </row>
    <row r="40" spans="1:24">
      <c r="A40" t="str">
        <f>+'WPI time series'!A21</f>
        <v>Income</v>
      </c>
      <c r="B40">
        <f>+'WPI time series'!B21/'WPI time series'!B21*100</f>
        <v>100</v>
      </c>
      <c r="C40" s="61">
        <f>+B40*('WPI time series'!C21/'WPI time series'!B21)</f>
        <v>104.32293839336447</v>
      </c>
      <c r="D40" s="61">
        <f>+C40*('WPI time series'!D21/'WPI time series'!C21)</f>
        <v>106.61025911916512</v>
      </c>
      <c r="E40" s="61">
        <f>+D40*('WPI time series'!E21/'WPI time series'!D21)</f>
        <v>102.51693257052128</v>
      </c>
      <c r="F40" s="61">
        <f>+E40*('WPI time series'!F21/'WPI time series'!E21)</f>
        <v>112.67936834366668</v>
      </c>
      <c r="G40" s="61">
        <f>+F40*('WPI time series'!G21/'WPI time series'!F21)</f>
        <v>116.73286452133999</v>
      </c>
      <c r="H40" s="61">
        <f>+G40*('WPI time series'!H21/'WPI time series'!G21)</f>
        <v>120.19815165961178</v>
      </c>
      <c r="I40" s="61">
        <f>+H40*('WPI time series'!I21/'WPI time series'!H21)</f>
        <v>122.92910611507008</v>
      </c>
      <c r="J40" s="61">
        <f>+I40*('WPI time series'!J21/'WPI time series'!I21)</f>
        <v>120.35311020732578</v>
      </c>
      <c r="K40" s="61">
        <f>+J40*('WPI time series'!K21/'WPI time series'!J21)</f>
        <v>113.83255733082414</v>
      </c>
      <c r="L40" s="61">
        <f>+K40*('WPI time series'!L21/'WPI time series'!K21)</f>
        <v>108.03223050007404</v>
      </c>
      <c r="M40" s="61">
        <f>+L40*('WPI time series'!M21/'WPI time series'!L21)</f>
        <v>113.43569189203835</v>
      </c>
      <c r="N40" s="61">
        <f>+M40*('WPI time series'!N21/'WPI time series'!M21)</f>
        <v>114.97460338405838</v>
      </c>
      <c r="O40" s="61">
        <f>+N40*('WPI time series'!O21/'WPI time series'!N21)</f>
        <v>110.14507915144787</v>
      </c>
      <c r="P40" s="61">
        <f>+O40*('WPI time series'!P21/'WPI time series'!O21)</f>
        <v>119.01535069913156</v>
      </c>
      <c r="Q40" s="61">
        <f>+P40*('WPI time series'!Q21/'WPI time series'!P21)</f>
        <v>134.03574235124537</v>
      </c>
      <c r="R40" s="61">
        <f>+Q40*('WPI time series'!R21/'WPI time series'!Q21)</f>
        <v>132.80370909390831</v>
      </c>
      <c r="S40" s="61">
        <f>+R40*('WPI time series'!S21/'WPI time series'!R21)</f>
        <v>146.3009547918054</v>
      </c>
      <c r="T40" s="61">
        <f>+S40*('WPI time series'!T21/'WPI time series'!S21)</f>
        <v>148.27235036386156</v>
      </c>
      <c r="U40" s="61">
        <f>+T40*('WPI time series'!U21/'WPI time series'!T21)</f>
        <v>144.96265904162252</v>
      </c>
      <c r="V40" s="61">
        <f>+U40*('WPI time series'!V21/'WPI time series'!U21)</f>
        <v>148.46701559558772</v>
      </c>
      <c r="W40" s="61">
        <f>+V40*('WPI time series'!W21/'WPI time series'!V21)</f>
        <v>147.75627046051616</v>
      </c>
      <c r="X40" s="61">
        <f>+W40*('WPI time series'!X21/'WPI time series'!W21)</f>
        <v>149.79679528982373</v>
      </c>
    </row>
    <row r="41" spans="1:24">
      <c r="A41" t="str">
        <f>+'WPI time series'!A22</f>
        <v>Regional GDP</v>
      </c>
      <c r="B41">
        <f>+'WPI time series'!B22/'WPI time series'!B22*100</f>
        <v>100</v>
      </c>
      <c r="C41" s="61">
        <f>+B41*('WPI time series'!C22/'WPI time series'!B22)</f>
        <v>106.0512536966893</v>
      </c>
      <c r="D41" s="61">
        <f>+C41*('WPI time series'!D22/'WPI time series'!C22)</f>
        <v>101.59395575988823</v>
      </c>
      <c r="E41" s="61">
        <f>+D41*('WPI time series'!E22/'WPI time series'!D22)</f>
        <v>105.71453008528013</v>
      </c>
      <c r="F41" s="61">
        <f>+E41*('WPI time series'!F22/'WPI time series'!E22)</f>
        <v>106.61613796980407</v>
      </c>
      <c r="G41" s="61">
        <f>+F41*('WPI time series'!G22/'WPI time series'!F22)</f>
        <v>111.2740549183726</v>
      </c>
      <c r="H41" s="61">
        <f>+G41*('WPI time series'!H22/'WPI time series'!G22)</f>
        <v>117.41813394269111</v>
      </c>
      <c r="I41" s="61">
        <f>+H41*('WPI time series'!I22/'WPI time series'!H22)</f>
        <v>117.02632904651213</v>
      </c>
      <c r="J41" s="61">
        <f>+I41*('WPI time series'!J22/'WPI time series'!I22)</f>
        <v>119.44043840210816</v>
      </c>
      <c r="K41" s="61">
        <f>+J41*('WPI time series'!K22/'WPI time series'!J22)</f>
        <v>114.89621323284783</v>
      </c>
      <c r="L41" s="61">
        <f>+K41*('WPI time series'!L22/'WPI time series'!K22)</f>
        <v>115.61463551017799</v>
      </c>
      <c r="M41" s="61">
        <f>+L41*('WPI time series'!M22/'WPI time series'!L22)</f>
        <v>121.48303920355964</v>
      </c>
      <c r="N41" s="61">
        <f>+M41*('WPI time series'!N22/'WPI time series'!M22)</f>
        <v>117.94334589193363</v>
      </c>
      <c r="O41" s="61">
        <f>+N41*('WPI time series'!O22/'WPI time series'!N22)</f>
        <v>122.32125873156843</v>
      </c>
      <c r="P41" s="61">
        <f>+O41*('WPI time series'!P22/'WPI time series'!O22)</f>
        <v>121.41444123852864</v>
      </c>
      <c r="Q41" s="61">
        <f>+P41*('WPI time series'!Q22/'WPI time series'!P22)</f>
        <v>121.08723126566869</v>
      </c>
      <c r="R41" s="61">
        <f>+Q41*('WPI time series'!R22/'WPI time series'!Q22)</f>
        <v>122.07148216273778</v>
      </c>
      <c r="S41" s="61">
        <f>+R41*('WPI time series'!S22/'WPI time series'!R22)</f>
        <v>127.72090764454562</v>
      </c>
      <c r="T41" s="61">
        <f>+S41*('WPI time series'!T22/'WPI time series'!S22)</f>
        <v>132.8394166377592</v>
      </c>
      <c r="U41" s="61">
        <f>+T41*('WPI time series'!U22/'WPI time series'!T22)</f>
        <v>133.19678323382479</v>
      </c>
      <c r="V41" s="61">
        <f>+U41*('WPI time series'!V22/'WPI time series'!U22)</f>
        <v>134.00166401531681</v>
      </c>
      <c r="W41" s="61">
        <f>+V41*('WPI time series'!W22/'WPI time series'!V22)</f>
        <v>136.12266305010041</v>
      </c>
      <c r="X41" s="61">
        <f>+W41*('WPI time series'!X22/'WPI time series'!W22)</f>
        <v>137.53010816688891</v>
      </c>
    </row>
    <row r="42" spans="1:24">
      <c r="A42" t="str">
        <f>+'WPI time series'!A23</f>
        <v>Water use</v>
      </c>
      <c r="B42">
        <f>+'WPI time series'!B23/'WPI time series'!B23*100</f>
        <v>100</v>
      </c>
      <c r="C42" s="61">
        <f>+B42*('WPI time series'!B23/'WPI time series'!C23)</f>
        <v>100</v>
      </c>
      <c r="D42" s="61">
        <f>+C42*('WPI time series'!C23/'WPI time series'!D23)</f>
        <v>100</v>
      </c>
      <c r="E42" s="61">
        <f>+D42*('WPI time series'!D23/'WPI time series'!E23)</f>
        <v>100</v>
      </c>
      <c r="F42" s="61">
        <f>+E42*('WPI time series'!E23/'WPI time series'!F23)</f>
        <v>100</v>
      </c>
      <c r="G42" s="61">
        <f>+F42*('WPI time series'!F23/'WPI time series'!G23)</f>
        <v>100</v>
      </c>
      <c r="H42" s="61">
        <f>+G42*('WPI time series'!G23/'WPI time series'!H23)</f>
        <v>100</v>
      </c>
      <c r="I42" s="61">
        <f>+H42*('WPI time series'!H23/'WPI time series'!I23)</f>
        <v>103.43400301027421</v>
      </c>
      <c r="J42" s="61">
        <f>+I42*('WPI time series'!I23/'WPI time series'!J23)</f>
        <v>104.28364068221553</v>
      </c>
      <c r="K42" s="61">
        <f>+J42*('WPI time series'!J23/'WPI time series'!K23)</f>
        <v>97.841158810238625</v>
      </c>
      <c r="L42" s="61">
        <f>+K42*('WPI time series'!K23/'WPI time series'!L23)</f>
        <v>93.653297781727957</v>
      </c>
      <c r="M42" s="61">
        <f>+L42*('WPI time series'!L23/'WPI time series'!M23)</f>
        <v>87.942246301718555</v>
      </c>
      <c r="N42" s="61">
        <f>+M42*('WPI time series'!M23/'WPI time series'!N23)</f>
        <v>77.204315518894134</v>
      </c>
      <c r="O42" s="61">
        <f>+N42*('WPI time series'!N23/'WPI time series'!O23)</f>
        <v>78.301039712174983</v>
      </c>
      <c r="P42" s="61">
        <f>+O42*('WPI time series'!O23/'WPI time series'!P23)</f>
        <v>77.984633241685401</v>
      </c>
      <c r="Q42" s="61">
        <f>+P42*('WPI time series'!P23/'WPI time series'!Q23)</f>
        <v>77.730648175469668</v>
      </c>
      <c r="R42" s="61">
        <f>+Q42*('WPI time series'!Q23/'WPI time series'!R23)</f>
        <v>78.899945838418802</v>
      </c>
      <c r="S42" s="61">
        <f>+R42*('WPI time series'!R23/'WPI time series'!S23)</f>
        <v>78.34819796542287</v>
      </c>
      <c r="T42" s="61">
        <f>+S42*('WPI time series'!S23/'WPI time series'!T23)</f>
        <v>79.22037648479683</v>
      </c>
      <c r="U42" s="61">
        <f>+T42*('WPI time series'!T23/'WPI time series'!U23)</f>
        <v>81.135780098936166</v>
      </c>
      <c r="V42" s="61">
        <f>+U42*('WPI time series'!U23/'WPI time series'!V23)</f>
        <v>74.838481252967696</v>
      </c>
      <c r="W42" s="61">
        <f>+V42*('WPI time series'!V23/'WPI time series'!W23)</f>
        <v>74.5247415167062</v>
      </c>
      <c r="X42" s="61">
        <f>+W42*('WPI time series'!W23/'WPI time series'!X23)</f>
        <v>73.737915352188779</v>
      </c>
    </row>
    <row r="43" spans="1:24">
      <c r="A43" t="str">
        <f>+'WPI time series'!A24</f>
        <v>Community engagement</v>
      </c>
      <c r="B43">
        <f>+'WPI time series'!B24/'WPI time series'!B24*100</f>
        <v>100</v>
      </c>
      <c r="C43" s="61">
        <f>+B43*('WPI time series'!C24/'WPI time series'!B24)</f>
        <v>100</v>
      </c>
      <c r="D43" s="61">
        <f>+C43*('WPI time series'!D24/'WPI time series'!C24)</f>
        <v>100</v>
      </c>
      <c r="E43" s="61">
        <f>+D43*('WPI time series'!E24/'WPI time series'!D24)</f>
        <v>100</v>
      </c>
      <c r="F43" s="61">
        <f>+E43*('WPI time series'!F24/'WPI time series'!E24)</f>
        <v>100</v>
      </c>
      <c r="G43" s="61">
        <f>+F43*('WPI time series'!G24/'WPI time series'!F24)</f>
        <v>100</v>
      </c>
      <c r="H43" s="61">
        <f>+G43*('WPI time series'!H24/'WPI time series'!G24)</f>
        <v>97.419354838709666</v>
      </c>
      <c r="I43" s="61">
        <f>+H43*('WPI time series'!I24/'WPI time series'!H24)</f>
        <v>94.838709677419345</v>
      </c>
      <c r="J43" s="61">
        <f>+I43*('WPI time series'!J24/'WPI time series'!I24)</f>
        <v>92.258064516129025</v>
      </c>
      <c r="K43" s="61">
        <f>+J43*('WPI time series'!K24/'WPI time series'!J24)</f>
        <v>89.677419354838705</v>
      </c>
      <c r="L43" s="61">
        <f>+K43*('WPI time series'!L24/'WPI time series'!K24)</f>
        <v>87.096774193548384</v>
      </c>
      <c r="M43" s="61">
        <f>+L43*('WPI time series'!M24/'WPI time series'!L24)</f>
        <v>84.516129032258064</v>
      </c>
      <c r="N43" s="61">
        <f>+M43*('WPI time series'!N24/'WPI time series'!M24)</f>
        <v>81.935483870967744</v>
      </c>
      <c r="O43" s="61">
        <f>+N43*('WPI time series'!O24/'WPI time series'!N24)</f>
        <v>79.354838709677423</v>
      </c>
      <c r="P43" s="61">
        <f>+O43*('WPI time series'!P24/'WPI time series'!O24)</f>
        <v>76.774193548387089</v>
      </c>
      <c r="Q43" s="61">
        <f>+P43*('WPI time series'!Q24/'WPI time series'!P24)</f>
        <v>74.193548387096797</v>
      </c>
      <c r="R43" s="61">
        <f>+Q43*('WPI time series'!R24/'WPI time series'!Q24)</f>
        <v>66.129032258064541</v>
      </c>
      <c r="S43" s="61">
        <f>+R43*('WPI time series'!S24/'WPI time series'!R24)</f>
        <v>58.06451612903227</v>
      </c>
      <c r="T43" s="61">
        <f>+S43*('WPI time series'!T24/'WPI time series'!S24)</f>
        <v>58.870967741935495</v>
      </c>
      <c r="U43" s="61">
        <f>+T43*('WPI time series'!U24/'WPI time series'!T24)</f>
        <v>59.677419354838726</v>
      </c>
      <c r="V43" s="61">
        <f>+U43*('WPI time series'!V24/'WPI time series'!U24)</f>
        <v>54.838709677419367</v>
      </c>
      <c r="W43" s="61">
        <f>+V43*('WPI time series'!W24/'WPI time series'!V24)</f>
        <v>50.000000000000014</v>
      </c>
      <c r="X43" s="61">
        <f>+W43*('WPI time series'!X24/'WPI time series'!W24)</f>
        <v>50.000000000000014</v>
      </c>
    </row>
    <row r="44" spans="1:24">
      <c r="A44" t="str">
        <f>+'WPI time series'!A25</f>
        <v>Community pride</v>
      </c>
      <c r="B44">
        <f>+'WPI time series'!B25/'WPI time series'!B25*100</f>
        <v>100</v>
      </c>
      <c r="C44" s="61">
        <f>+B44*('WPI time series'!C25/'WPI time series'!B25)</f>
        <v>100</v>
      </c>
      <c r="D44" s="61">
        <f>+C44*('WPI time series'!D25/'WPI time series'!C25)</f>
        <v>100</v>
      </c>
      <c r="E44" s="61">
        <f>+D44*('WPI time series'!E25/'WPI time series'!D25)</f>
        <v>100</v>
      </c>
      <c r="F44" s="61">
        <f>+E44*('WPI time series'!F25/'WPI time series'!E25)</f>
        <v>100</v>
      </c>
      <c r="G44" s="61">
        <f>+F44*('WPI time series'!G25/'WPI time series'!F25)</f>
        <v>100</v>
      </c>
      <c r="H44" s="61">
        <f>+G44*('WPI time series'!H25/'WPI time series'!G25)</f>
        <v>99.714285714285708</v>
      </c>
      <c r="I44" s="61">
        <f>+H44*('WPI time series'!I25/'WPI time series'!H25)</f>
        <v>99.428571428571416</v>
      </c>
      <c r="J44" s="61">
        <f>+I44*('WPI time series'!J25/'WPI time series'!I25)</f>
        <v>99.142857142857125</v>
      </c>
      <c r="K44" s="61">
        <f>+J44*('WPI time series'!K25/'WPI time series'!J25)</f>
        <v>98.857142857142833</v>
      </c>
      <c r="L44" s="61">
        <f>+K44*('WPI time series'!L25/'WPI time series'!K25)</f>
        <v>98.571428571428541</v>
      </c>
      <c r="M44" s="61">
        <f>+L44*('WPI time series'!M25/'WPI time series'!L25)</f>
        <v>98.285714285714249</v>
      </c>
      <c r="N44" s="61">
        <f>+M44*('WPI time series'!N25/'WPI time series'!M25)</f>
        <v>97.999999999999957</v>
      </c>
      <c r="O44" s="61">
        <f>+N44*('WPI time series'!O25/'WPI time series'!N25)</f>
        <v>97.71428571428568</v>
      </c>
      <c r="P44" s="61">
        <f>+O44*('WPI time series'!P25/'WPI time series'!O25)</f>
        <v>97.428571428571402</v>
      </c>
      <c r="Q44" s="61">
        <f>+P44*('WPI time series'!Q25/'WPI time series'!P25)</f>
        <v>97.142857142857125</v>
      </c>
      <c r="R44" s="61">
        <f>+Q44*('WPI time series'!R25/'WPI time series'!Q25)</f>
        <v>92.857142857142833</v>
      </c>
      <c r="S44" s="61">
        <f>+R44*('WPI time series'!S25/'WPI time series'!R25)</f>
        <v>88.571428571428541</v>
      </c>
      <c r="T44" s="61">
        <f>+S44*('WPI time series'!T25/'WPI time series'!S25)</f>
        <v>92.14285714285711</v>
      </c>
      <c r="U44" s="61">
        <f>+T44*('WPI time series'!U25/'WPI time series'!T25)</f>
        <v>95.714285714285694</v>
      </c>
      <c r="V44" s="61">
        <f>+U44*('WPI time series'!V25/'WPI time series'!U25)</f>
        <v>93.571428571428541</v>
      </c>
      <c r="W44" s="61">
        <f>+V44*('WPI time series'!W25/'WPI time series'!V25)</f>
        <v>91.428571428571402</v>
      </c>
      <c r="X44" s="61">
        <f>+W44*('WPI time series'!X25/'WPI time series'!W25)</f>
        <v>91.428571428571402</v>
      </c>
    </row>
    <row r="45" spans="1:24">
      <c r="A45" t="str">
        <f>+'WPI time series'!A26</f>
        <v>Crime</v>
      </c>
      <c r="B45">
        <f>+'WPI time series'!B26/'WPI time series'!B26*100</f>
        <v>100</v>
      </c>
      <c r="C45" s="61">
        <f>+B45*('WPI time series'!B26/'WPI time series'!C26)</f>
        <v>99.02364459638197</v>
      </c>
      <c r="D45" s="61">
        <f>+C45*('WPI time series'!C26/'WPI time series'!D26)</f>
        <v>106.65162614093052</v>
      </c>
      <c r="E45" s="61">
        <f>+D45*('WPI time series'!D26/'WPI time series'!E26)</f>
        <v>115.52091217170994</v>
      </c>
      <c r="F45" s="61">
        <f>+E45*('WPI time series'!E26/'WPI time series'!F26)</f>
        <v>108.13126791762176</v>
      </c>
      <c r="G45" s="61">
        <f>+F45*('WPI time series'!F26/'WPI time series'!G26)</f>
        <v>99.862116444794779</v>
      </c>
      <c r="H45" s="61">
        <f>+G45*('WPI time series'!G26/'WPI time series'!H26)</f>
        <v>104.32804226561176</v>
      </c>
      <c r="I45" s="61">
        <f>+H45*('WPI time series'!H26/'WPI time series'!I26)</f>
        <v>109.44710672831707</v>
      </c>
      <c r="J45" s="61">
        <f>+I45*('WPI time series'!I26/'WPI time series'!J26)</f>
        <v>100.42898434531625</v>
      </c>
      <c r="K45" s="61">
        <f>+J45*('WPI time series'!J26/'WPI time series'!K26)</f>
        <v>103.67334724970836</v>
      </c>
      <c r="L45" s="61">
        <f>+K45*('WPI time series'!K26/'WPI time series'!L26)</f>
        <v>103.15482216875454</v>
      </c>
      <c r="M45" s="61">
        <f>+L45*('WPI time series'!L26/'WPI time series'!M26)</f>
        <v>112.63826609455249</v>
      </c>
      <c r="N45" s="61">
        <f>+M45*('WPI time series'!M26/'WPI time series'!N26)</f>
        <v>115.24854468038573</v>
      </c>
      <c r="O45" s="61">
        <f>+N45*('WPI time series'!N26/'WPI time series'!O26)</f>
        <v>127.55144305689386</v>
      </c>
      <c r="P45" s="61">
        <f>+O45*('WPI time series'!O26/'WPI time series'!P26)</f>
        <v>142.88353947463182</v>
      </c>
      <c r="Q45" s="61">
        <f>+P45*('WPI time series'!P26/'WPI time series'!Q26)</f>
        <v>133.2229353274349</v>
      </c>
      <c r="R45" s="61">
        <f>+Q45*('WPI time series'!Q26/'WPI time series'!R26)</f>
        <v>133.29257777273389</v>
      </c>
      <c r="S45" s="61">
        <f>+R45*('WPI time series'!R26/'WPI time series'!S26)</f>
        <v>141.34402848746919</v>
      </c>
      <c r="T45" s="61">
        <f>+S45*('WPI time series'!S26/'WPI time series'!T26)</f>
        <v>126.43554537550176</v>
      </c>
      <c r="U45" s="61">
        <f>+T45*('WPI time series'!T26/'WPI time series'!U26)</f>
        <v>133.5340815152488</v>
      </c>
      <c r="V45" s="61">
        <f>+U45*('WPI time series'!U26/'WPI time series'!V26)</f>
        <v>121.97661637741719</v>
      </c>
      <c r="W45" s="61">
        <f>+V45*('WPI time series'!V26/'WPI time series'!W26)</f>
        <v>99.963707174686519</v>
      </c>
      <c r="X45" s="61">
        <f>+W45*('WPI time series'!W26/'WPI time series'!X26)</f>
        <v>98.418693026613624</v>
      </c>
    </row>
    <row r="46" spans="1:24">
      <c r="A46" t="str">
        <f>+'WPI time series'!A27</f>
        <v>Cultural respect</v>
      </c>
      <c r="B46">
        <f>+'WPI time series'!B27/'WPI time series'!B27*100</f>
        <v>100</v>
      </c>
      <c r="C46" s="61">
        <f>+B46*('WPI time series'!C27/'WPI time series'!B27)</f>
        <v>100</v>
      </c>
      <c r="D46" s="61">
        <f>+C46*('WPI time series'!D27/'WPI time series'!C27)</f>
        <v>100</v>
      </c>
      <c r="E46" s="61">
        <f>+D46*('WPI time series'!E27/'WPI time series'!D27)</f>
        <v>100</v>
      </c>
      <c r="F46" s="61">
        <f>+E46*('WPI time series'!F27/'WPI time series'!E27)</f>
        <v>100</v>
      </c>
      <c r="G46" s="61">
        <f>+F46*('WPI time series'!G27/'WPI time series'!F27)</f>
        <v>100</v>
      </c>
      <c r="H46" s="61">
        <f>+G46*('WPI time series'!H27/'WPI time series'!G27)</f>
        <v>98.431372549019599</v>
      </c>
      <c r="I46" s="61">
        <f>+H46*('WPI time series'!I27/'WPI time series'!H27)</f>
        <v>96.862745098039213</v>
      </c>
      <c r="J46" s="61">
        <f>+I46*('WPI time series'!J27/'WPI time series'!I27)</f>
        <v>95.294117647058812</v>
      </c>
      <c r="K46" s="61">
        <f>+J46*('WPI time series'!K27/'WPI time series'!J27)</f>
        <v>93.725490196078411</v>
      </c>
      <c r="L46" s="61">
        <f>+K46*('WPI time series'!L27/'WPI time series'!K27)</f>
        <v>92.15686274509801</v>
      </c>
      <c r="M46" s="61">
        <f>+L46*('WPI time series'!M27/'WPI time series'!L27)</f>
        <v>90.588235294117609</v>
      </c>
      <c r="N46" s="61">
        <f>+M46*('WPI time series'!N27/'WPI time series'!M27)</f>
        <v>89.019607843137223</v>
      </c>
      <c r="O46" s="61">
        <f>+N46*('WPI time series'!O27/'WPI time series'!N27)</f>
        <v>87.450980392156822</v>
      </c>
      <c r="P46" s="61">
        <f>+O46*('WPI time series'!P27/'WPI time series'!O27)</f>
        <v>85.882352941176421</v>
      </c>
      <c r="Q46" s="61">
        <f>+P46*('WPI time series'!Q27/'WPI time series'!P27)</f>
        <v>84.313725490196035</v>
      </c>
      <c r="R46" s="61">
        <f>+Q46*('WPI time series'!R27/'WPI time series'!Q27)</f>
        <v>82.352941176470537</v>
      </c>
      <c r="S46" s="61">
        <f>+R46*('WPI time series'!S27/'WPI time series'!R27)</f>
        <v>80.39215686274504</v>
      </c>
      <c r="T46" s="61">
        <f>+S46*('WPI time series'!T27/'WPI time series'!S27)</f>
        <v>86.274509803921489</v>
      </c>
      <c r="U46" s="61">
        <f>+T46*('WPI time series'!U27/'WPI time series'!T27)</f>
        <v>92.156862745097968</v>
      </c>
      <c r="V46" s="61">
        <f>+U46*('WPI time series'!V27/'WPI time series'!U27)</f>
        <v>84.313725490196006</v>
      </c>
      <c r="W46" s="61">
        <f>+V46*('WPI time series'!W27/'WPI time series'!V27)</f>
        <v>76.470588235294059</v>
      </c>
      <c r="X46" s="61">
        <f>+W46*('WPI time series'!X27/'WPI time series'!W27)</f>
        <v>76.470588235294059</v>
      </c>
    </row>
    <row r="47" spans="1:24">
      <c r="A47" t="str">
        <f>+'WPI time series'!A28</f>
        <v>Educational attainment</v>
      </c>
      <c r="B47">
        <f>+'WPI time series'!B28/'WPI time series'!B28*100</f>
        <v>100</v>
      </c>
      <c r="C47" s="61">
        <f>+B47*('WPI time series'!C28/'WPI time series'!B28)</f>
        <v>100</v>
      </c>
      <c r="D47" s="61">
        <f>+C47*('WPI time series'!D28/'WPI time series'!C28)</f>
        <v>100</v>
      </c>
      <c r="E47" s="61">
        <f>+D47*('WPI time series'!E28/'WPI time series'!D28)</f>
        <v>100</v>
      </c>
      <c r="F47" s="61">
        <f>+E47*('WPI time series'!F28/'WPI time series'!E28)</f>
        <v>100</v>
      </c>
      <c r="G47" s="61">
        <f>+F47*('WPI time series'!G28/'WPI time series'!F28)</f>
        <v>100</v>
      </c>
      <c r="H47" s="61">
        <f>+G47*('WPI time series'!H28/'WPI time series'!G28)</f>
        <v>100</v>
      </c>
      <c r="I47" s="61">
        <f>+H47*('WPI time series'!I28/'WPI time series'!H28)</f>
        <v>100</v>
      </c>
      <c r="J47" s="61">
        <f>+I47*('WPI time series'!J28/'WPI time series'!I28)</f>
        <v>100</v>
      </c>
      <c r="K47" s="61">
        <f>+J47*('WPI time series'!K28/'WPI time series'!J28)</f>
        <v>103.4116784203103</v>
      </c>
      <c r="L47" s="61">
        <f>+K47*('WPI time series'!L28/'WPI time series'!K28)</f>
        <v>108.23963328631875</v>
      </c>
      <c r="M47" s="61">
        <f>+L47*('WPI time series'!M28/'WPI time series'!L28)</f>
        <v>112.13314527503525</v>
      </c>
      <c r="N47" s="61">
        <f>+M47*('WPI time series'!N28/'WPI time series'!M28)</f>
        <v>114.62499294781379</v>
      </c>
      <c r="O47" s="61">
        <f>+N47*('WPI time series'!O28/'WPI time series'!N28)</f>
        <v>118.51850493653028</v>
      </c>
      <c r="P47" s="61">
        <f>+O47*('WPI time series'!P28/'WPI time series'!O28)</f>
        <v>120.85461212976018</v>
      </c>
      <c r="Q47" s="61">
        <f>+P47*('WPI time series'!Q28/'WPI time series'!P28)</f>
        <v>123.96942172073341</v>
      </c>
      <c r="R47" s="61">
        <f>+Q47*('WPI time series'!R28/'WPI time series'!Q28)</f>
        <v>122.25627644569816</v>
      </c>
      <c r="S47" s="61">
        <f>+R47*('WPI time series'!S28/'WPI time series'!R28)</f>
        <v>123.19071932299009</v>
      </c>
      <c r="T47" s="61">
        <f>+S47*('WPI time series'!T28/'WPI time series'!S28)</f>
        <v>122.10053596614948</v>
      </c>
      <c r="U47" s="61">
        <f>+T47*('WPI time series'!U28/'WPI time series'!T28)</f>
        <v>123.5022002820874</v>
      </c>
      <c r="V47" s="61">
        <f>+U47*('WPI time series'!V28/'WPI time series'!U28)</f>
        <v>121.32183356840618</v>
      </c>
      <c r="W47" s="61">
        <f>+V47*('WPI time series'!W28/'WPI time series'!V28)</f>
        <v>112.44462623413254</v>
      </c>
      <c r="X47" s="61">
        <f>+W47*('WPI time series'!X28/'WPI time series'!W28)</f>
        <v>112.44462623413254</v>
      </c>
    </row>
    <row r="48" spans="1:24">
      <c r="A48" t="str">
        <f>+'WPI time series'!A29</f>
        <v>Housing affordability</v>
      </c>
      <c r="B48">
        <f>+'WPI time series'!B29/'WPI time series'!B29*100</f>
        <v>100</v>
      </c>
      <c r="C48" s="61">
        <f>+B48*('WPI time series'!B29/'WPI time series'!C29)</f>
        <v>100</v>
      </c>
      <c r="D48" s="61">
        <f>+C48*('WPI time series'!C29/'WPI time series'!D29)</f>
        <v>100</v>
      </c>
      <c r="E48" s="61">
        <f>+D48*('WPI time series'!D29/'WPI time series'!E29)</f>
        <v>100</v>
      </c>
      <c r="F48" s="61">
        <f>+E48*('WPI time series'!E29/'WPI time series'!F29)</f>
        <v>100</v>
      </c>
      <c r="G48" s="61">
        <f>+F48*('WPI time series'!F29/'WPI time series'!G29)</f>
        <v>100</v>
      </c>
      <c r="H48" s="61">
        <f>+G48*('WPI time series'!G29/'WPI time series'!H29)</f>
        <v>100</v>
      </c>
      <c r="I48" s="61">
        <f>+H48*('WPI time series'!H29/'WPI time series'!I29)</f>
        <v>110.21505376344084</v>
      </c>
      <c r="J48" s="61">
        <f>+I48*('WPI time series'!I29/'WPI time series'!J29)</f>
        <v>99.999999999999986</v>
      </c>
      <c r="K48" s="61">
        <f>+J48*('WPI time series'!J29/'WPI time series'!K29)</f>
        <v>115.81920903954801</v>
      </c>
      <c r="L48" s="61">
        <f>+K48*('WPI time series'!K29/'WPI time series'!L29)</f>
        <v>112.02185792349725</v>
      </c>
      <c r="M48" s="61">
        <f>+L48*('WPI time series'!L29/'WPI time series'!M29)</f>
        <v>101.99004975124376</v>
      </c>
      <c r="N48" s="61">
        <f>+M48*('WPI time series'!M29/'WPI time series'!N29)</f>
        <v>119.18604651162789</v>
      </c>
      <c r="O48" s="61">
        <f>+N48*('WPI time series'!N29/'WPI time series'!O29)</f>
        <v>100.98522167487681</v>
      </c>
      <c r="P48" s="61">
        <f>+O48*('WPI time series'!O29/'WPI time series'!P29)</f>
        <v>108.46560846560845</v>
      </c>
      <c r="Q48" s="61">
        <f>+P48*('WPI time series'!P29/'WPI time series'!Q29)</f>
        <v>100.49019607843135</v>
      </c>
      <c r="R48" s="61">
        <f>+Q48*('WPI time series'!Q29/'WPI time series'!R29)</f>
        <v>103.0150753768844</v>
      </c>
      <c r="S48" s="61">
        <f>+R48*('WPI time series'!R29/'WPI time series'!S29)</f>
        <v>101.48514851485146</v>
      </c>
      <c r="T48" s="61">
        <f>+S48*('WPI time series'!S29/'WPI time series'!T29)</f>
        <v>104.59183673469384</v>
      </c>
      <c r="U48" s="61">
        <f>+T48*('WPI time series'!T29/'WPI time series'!U29)</f>
        <v>99.514563106796075</v>
      </c>
      <c r="V48" s="61">
        <f>+U48*('WPI time series'!U29/'WPI time series'!V29)</f>
        <v>103.01507537688441</v>
      </c>
      <c r="W48" s="61">
        <f>+V48*('WPI time series'!V29/'WPI time series'!W29)</f>
        <v>97.156398104265392</v>
      </c>
      <c r="X48" s="61">
        <f>+W48*('WPI time series'!W29/'WPI time series'!X29)</f>
        <v>91.928251121076215</v>
      </c>
    </row>
    <row r="49" spans="1:24">
      <c r="A49" t="str">
        <f>+'WPI time series'!A30</f>
        <v>Income inequality</v>
      </c>
      <c r="B49">
        <f>+'WPI time series'!B30/'WPI time series'!B30*100</f>
        <v>100</v>
      </c>
      <c r="C49" s="61">
        <f>+B49*('WPI time series'!B30/'WPI time series'!C30)</f>
        <v>100</v>
      </c>
      <c r="D49" s="61">
        <f>+C49*('WPI time series'!C30/'WPI time series'!D30)</f>
        <v>100</v>
      </c>
      <c r="E49" s="61">
        <f>+D49*('WPI time series'!D30/'WPI time series'!E30)</f>
        <v>100</v>
      </c>
      <c r="F49" s="61">
        <f>+E49*('WPI time series'!E30/'WPI time series'!F30)</f>
        <v>100</v>
      </c>
      <c r="G49" s="61">
        <f>+F49*('WPI time series'!F30/'WPI time series'!G30)</f>
        <v>100</v>
      </c>
      <c r="H49" s="61">
        <f>+G49*('WPI time series'!G30/'WPI time series'!H30)</f>
        <v>100</v>
      </c>
      <c r="I49" s="61">
        <f>+H49*('WPI time series'!H30/'WPI time series'!I30)</f>
        <v>87.587009864237686</v>
      </c>
      <c r="J49" s="61">
        <f>+I49*('WPI time series'!I30/'WPI time series'!J30)</f>
        <v>111.31142371253232</v>
      </c>
      <c r="K49" s="61">
        <f>+J49*('WPI time series'!J30/'WPI time series'!K30)</f>
        <v>98.755671154714648</v>
      </c>
      <c r="L49" s="61">
        <f>+K49*('WPI time series'!K30/'WPI time series'!L30)</f>
        <v>89.397233063095356</v>
      </c>
      <c r="M49" s="61">
        <f>+L49*('WPI time series'!L30/'WPI time series'!M30)</f>
        <v>85.128748019085677</v>
      </c>
      <c r="N49" s="61">
        <f>+M49*('WPI time series'!M30/'WPI time series'!N30)</f>
        <v>102.72859087918756</v>
      </c>
      <c r="O49" s="61">
        <f>+N49*('WPI time series'!N30/'WPI time series'!O30)</f>
        <v>93.546331169285153</v>
      </c>
      <c r="P49" s="61">
        <f>+O49*('WPI time series'!O30/'WPI time series'!P30)</f>
        <v>79.077411962499696</v>
      </c>
      <c r="Q49" s="61">
        <f>+P49*('WPI time series'!P30/'WPI time series'!Q30)</f>
        <v>85.024128832150126</v>
      </c>
      <c r="R49" s="61">
        <f>+Q49*('WPI time series'!Q30/'WPI time series'!R30)</f>
        <v>84.274701538915124</v>
      </c>
      <c r="S49" s="61">
        <f>+R49*('WPI time series'!R30/'WPI time series'!S30)</f>
        <v>88.903772621473479</v>
      </c>
      <c r="T49" s="61">
        <f>+S49*('WPI time series'!S30/'WPI time series'!T30)</f>
        <v>85.612585623935814</v>
      </c>
      <c r="U49" s="61">
        <f>+T49*('WPI time series'!T30/'WPI time series'!U30)</f>
        <v>91.979172658779675</v>
      </c>
      <c r="V49" s="61">
        <f>+U49*('WPI time series'!U30/'WPI time series'!V30)</f>
        <v>97.073248879653235</v>
      </c>
      <c r="W49" s="61">
        <f>+V49*('WPI time series'!V30/'WPI time series'!W30)</f>
        <v>99.011763443359001</v>
      </c>
      <c r="X49" s="61">
        <f>+W49*('WPI time series'!W30/'WPI time series'!X30)</f>
        <v>89.783285168622953</v>
      </c>
    </row>
    <row r="50" spans="1:24">
      <c r="A50" t="str">
        <f>+'WPI time series'!A31</f>
        <v>Life expectancy</v>
      </c>
      <c r="B50">
        <f>+'WPI time series'!B31/'WPI time series'!B31*100</f>
        <v>100</v>
      </c>
      <c r="C50" s="61">
        <f>+B50*('WPI time series'!C31/'WPI time series'!B31)</f>
        <v>100.3312101910828</v>
      </c>
      <c r="D50" s="61">
        <f>+C50*('WPI time series'!D31/'WPI time series'!C31)</f>
        <v>100.66242038216561</v>
      </c>
      <c r="E50" s="61">
        <f>+D50*('WPI time series'!E31/'WPI time series'!D31)</f>
        <v>100.99363057324841</v>
      </c>
      <c r="F50" s="61">
        <f>+E50*('WPI time series'!F31/'WPI time series'!E31)</f>
        <v>101.32484076433123</v>
      </c>
      <c r="G50" s="61">
        <f>+F50*('WPI time series'!G31/'WPI time series'!F31)</f>
        <v>101.65605095541402</v>
      </c>
      <c r="H50" s="61">
        <f>+G50*('WPI time series'!H31/'WPI time series'!G31)</f>
        <v>101.86533212010919</v>
      </c>
      <c r="I50" s="61">
        <f>+H50*('WPI time series'!I31/'WPI time series'!H31)</f>
        <v>102.07461328480436</v>
      </c>
      <c r="J50" s="61">
        <f>+I50*('WPI time series'!J31/'WPI time series'!I31)</f>
        <v>102.28389444949951</v>
      </c>
      <c r="K50" s="61">
        <f>+J50*('WPI time series'!K31/'WPI time series'!J31)</f>
        <v>102.49317561419468</v>
      </c>
      <c r="L50" s="61">
        <f>+K50*('WPI time series'!L31/'WPI time series'!K31)</f>
        <v>102.70245677888985</v>
      </c>
      <c r="M50" s="61">
        <f>+L50*('WPI time series'!M31/'WPI time series'!L31)</f>
        <v>102.91173794358502</v>
      </c>
      <c r="N50" s="61">
        <f>+M50*('WPI time series'!N31/'WPI time series'!M31)</f>
        <v>103.12101910828021</v>
      </c>
      <c r="O50" s="61">
        <f>+N50*('WPI time series'!O31/'WPI time series'!N31)</f>
        <v>103.22292993630568</v>
      </c>
      <c r="P50" s="61">
        <f>+O50*('WPI time series'!P31/'WPI time series'!O31)</f>
        <v>103.32484076433116</v>
      </c>
      <c r="Q50" s="61">
        <f>+P50*('WPI time series'!Q31/'WPI time series'!P31)</f>
        <v>103.42675159235664</v>
      </c>
      <c r="R50" s="61">
        <f>+Q50*('WPI time series'!R31/'WPI time series'!Q31)</f>
        <v>103.52866242038212</v>
      </c>
      <c r="S50" s="61">
        <f>+R50*('WPI time series'!S31/'WPI time series'!R31)</f>
        <v>103.6305732484076</v>
      </c>
      <c r="T50" s="61">
        <f>+S50*('WPI time series'!T31/'WPI time series'!S31)</f>
        <v>103.6305732484076</v>
      </c>
      <c r="U50" s="61">
        <f>+T50*('WPI time series'!U31/'WPI time series'!T31)</f>
        <v>103.6305732484076</v>
      </c>
      <c r="V50" s="61">
        <f>+U50*('WPI time series'!V31/'WPI time series'!U31)</f>
        <v>103.6305732484076</v>
      </c>
      <c r="W50" s="61">
        <f>+V50*('WPI time series'!W31/'WPI time series'!V31)</f>
        <v>103.6305732484076</v>
      </c>
      <c r="X50" s="61">
        <f>+W50*('WPI time series'!X31/'WPI time series'!W31)</f>
        <v>103.6305732484076</v>
      </c>
    </row>
    <row r="51" spans="1:24">
      <c r="A51" t="str">
        <f>+'WPI time series'!A32</f>
        <v>Life satisfaction</v>
      </c>
      <c r="B51">
        <f>+'WPI time series'!B32/'WPI time series'!B32*100</f>
        <v>100</v>
      </c>
      <c r="C51" s="61">
        <f>+B51*('WPI time series'!C32/'WPI time series'!B32)</f>
        <v>100</v>
      </c>
      <c r="D51" s="61">
        <f>+C51*('WPI time series'!D32/'WPI time series'!C32)</f>
        <v>100</v>
      </c>
      <c r="E51" s="61">
        <f>+D51*('WPI time series'!E32/'WPI time series'!D32)</f>
        <v>100</v>
      </c>
      <c r="F51" s="61">
        <f>+E51*('WPI time series'!F32/'WPI time series'!E32)</f>
        <v>100</v>
      </c>
      <c r="G51" s="61">
        <f>+F51*('WPI time series'!G32/'WPI time series'!F32)</f>
        <v>100</v>
      </c>
      <c r="H51" s="61">
        <f>+G51*('WPI time series'!H32/'WPI time series'!G32)</f>
        <v>99.333333333333329</v>
      </c>
      <c r="I51" s="61">
        <f>+H51*('WPI time series'!I32/'WPI time series'!H32)</f>
        <v>98.666666666666657</v>
      </c>
      <c r="J51" s="61">
        <f>+I51*('WPI time series'!J32/'WPI time series'!I32)</f>
        <v>97.999999999999986</v>
      </c>
      <c r="K51" s="61">
        <f>+J51*('WPI time series'!K32/'WPI time series'!J32)</f>
        <v>97.333333333333314</v>
      </c>
      <c r="L51" s="61">
        <f>+K51*('WPI time series'!L32/'WPI time series'!K32)</f>
        <v>96.666666666666643</v>
      </c>
      <c r="M51" s="61">
        <f>+L51*('WPI time series'!M32/'WPI time series'!L32)</f>
        <v>95.999999999999972</v>
      </c>
      <c r="N51" s="61">
        <f>+M51*('WPI time series'!N32/'WPI time series'!M32)</f>
        <v>95.333333333333314</v>
      </c>
      <c r="O51" s="61">
        <f>+N51*('WPI time series'!O32/'WPI time series'!N32)</f>
        <v>94.666666666666643</v>
      </c>
      <c r="P51" s="61">
        <f>+O51*('WPI time series'!P32/'WPI time series'!O32)</f>
        <v>93.999999999999972</v>
      </c>
      <c r="Q51" s="61">
        <f>+P51*('WPI time series'!Q32/'WPI time series'!P32)</f>
        <v>93.3333333333333</v>
      </c>
      <c r="R51" s="61">
        <f>+Q51*('WPI time series'!R32/'WPI time series'!Q32)</f>
        <v>94.999999999999957</v>
      </c>
      <c r="S51" s="61">
        <f>+R51*('WPI time series'!S32/'WPI time series'!R32)</f>
        <v>96.666666666666629</v>
      </c>
      <c r="T51" s="61">
        <f>+S51*('WPI time series'!T32/'WPI time series'!S32)</f>
        <v>97.222222222222186</v>
      </c>
      <c r="U51" s="61">
        <f>+T51*('WPI time series'!U32/'WPI time series'!T32)</f>
        <v>97.777777777777743</v>
      </c>
      <c r="V51" s="61">
        <f>+U51*('WPI time series'!V32/'WPI time series'!U32)</f>
        <v>96.666666666666629</v>
      </c>
      <c r="W51" s="61">
        <f>+V51*('WPI time series'!W32/'WPI time series'!V32)</f>
        <v>95.555555555555515</v>
      </c>
      <c r="X51" s="61">
        <f>+W51*('WPI time series'!X32/'WPI time series'!W32)</f>
        <v>95.555555555555515</v>
      </c>
    </row>
    <row r="52" spans="1:24">
      <c r="A52" t="str">
        <f>+'WPI time series'!A33</f>
        <v>Perceived health</v>
      </c>
      <c r="B52">
        <f>+'WPI time series'!B33/'WPI time series'!B33*100</f>
        <v>100</v>
      </c>
      <c r="C52" s="61">
        <f>+B52*('WPI time series'!C33/'WPI time series'!B33)</f>
        <v>100</v>
      </c>
      <c r="D52" s="61">
        <f>+C52*('WPI time series'!D33/'WPI time series'!C33)</f>
        <v>100</v>
      </c>
      <c r="E52" s="61">
        <f>+D52*('WPI time series'!E33/'WPI time series'!D33)</f>
        <v>100</v>
      </c>
      <c r="F52" s="61">
        <f>+E52*('WPI time series'!F33/'WPI time series'!E33)</f>
        <v>100</v>
      </c>
      <c r="G52" s="61">
        <f>+F52*('WPI time series'!G33/'WPI time series'!F33)</f>
        <v>100</v>
      </c>
      <c r="H52" s="61">
        <f>+G52*('WPI time series'!H33/'WPI time series'!G33)</f>
        <v>99.333333333333329</v>
      </c>
      <c r="I52" s="61">
        <f>+H52*('WPI time series'!I33/'WPI time series'!H33)</f>
        <v>98.666666666666657</v>
      </c>
      <c r="J52" s="61">
        <f>+I52*('WPI time series'!J33/'WPI time series'!I33)</f>
        <v>97.999999999999986</v>
      </c>
      <c r="K52" s="61">
        <f>+J52*('WPI time series'!K33/'WPI time series'!J33)</f>
        <v>97.333333333333314</v>
      </c>
      <c r="L52" s="61">
        <f>+K52*('WPI time series'!L33/'WPI time series'!K33)</f>
        <v>96.666666666666643</v>
      </c>
      <c r="M52" s="61">
        <f>+L52*('WPI time series'!M33/'WPI time series'!L33)</f>
        <v>95.999999999999972</v>
      </c>
      <c r="N52" s="61">
        <f>+M52*('WPI time series'!N33/'WPI time series'!M33)</f>
        <v>95.333333333333314</v>
      </c>
      <c r="O52" s="61">
        <f>+N52*('WPI time series'!O33/'WPI time series'!N33)</f>
        <v>94.666666666666643</v>
      </c>
      <c r="P52" s="61">
        <f>+O52*('WPI time series'!P33/'WPI time series'!O33)</f>
        <v>93.999999999999972</v>
      </c>
      <c r="Q52" s="61">
        <f>+P52*('WPI time series'!Q33/'WPI time series'!P33)</f>
        <v>93.3333333333333</v>
      </c>
      <c r="R52" s="61">
        <f>+Q52*('WPI time series'!R33/'WPI time series'!Q33)</f>
        <v>90.555555555555529</v>
      </c>
      <c r="S52" s="61">
        <f>+R52*('WPI time series'!S33/'WPI time series'!R33)</f>
        <v>87.777777777777757</v>
      </c>
      <c r="T52" s="61">
        <f>+S52*('WPI time series'!T33/'WPI time series'!S33)</f>
        <v>87.777777777777757</v>
      </c>
      <c r="U52" s="61">
        <f>+T52*('WPI time series'!U33/'WPI time series'!T33)</f>
        <v>87.777777777777757</v>
      </c>
      <c r="V52" s="61">
        <f>+U52*('WPI time series'!V33/'WPI time series'!U33)</f>
        <v>88.333333333333314</v>
      </c>
      <c r="W52" s="61">
        <f>+V52*('WPI time series'!W33/'WPI time series'!V33)</f>
        <v>88.888888888888872</v>
      </c>
      <c r="X52" s="61">
        <f>+W52*('WPI time series'!X33/'WPI time series'!W33)</f>
        <v>88.888888888888872</v>
      </c>
    </row>
    <row r="53" spans="1:24">
      <c r="A53" t="str">
        <f>+'WPI time series'!A34</f>
        <v>Perceptions of safety</v>
      </c>
      <c r="B53">
        <f>+'WPI time series'!B34/'WPI time series'!B34*100</f>
        <v>100</v>
      </c>
      <c r="C53" s="61">
        <f>+B53*('WPI time series'!C34/'WPI time series'!B34)</f>
        <v>100</v>
      </c>
      <c r="D53" s="61">
        <f>+C53*('WPI time series'!D34/'WPI time series'!C34)</f>
        <v>100</v>
      </c>
      <c r="E53" s="61">
        <f>+D53*('WPI time series'!E34/'WPI time series'!D34)</f>
        <v>100</v>
      </c>
      <c r="F53" s="61">
        <f>+E53*('WPI time series'!F34/'WPI time series'!E34)</f>
        <v>100</v>
      </c>
      <c r="G53" s="61">
        <f>+F53*('WPI time series'!G34/'WPI time series'!F34)</f>
        <v>100</v>
      </c>
      <c r="H53" s="61">
        <f>+G53*('WPI time series'!H34/'WPI time series'!G34)</f>
        <v>100.83333333333333</v>
      </c>
      <c r="I53" s="61">
        <f>+H53*('WPI time series'!I34/'WPI time series'!H34)</f>
        <v>101.66666666666666</v>
      </c>
      <c r="J53" s="61">
        <f>+I53*('WPI time series'!J34/'WPI time series'!I34)</f>
        <v>102.49999999999999</v>
      </c>
      <c r="K53" s="61">
        <f>+J53*('WPI time series'!K34/'WPI time series'!J34)</f>
        <v>103.33333333333331</v>
      </c>
      <c r="L53" s="61">
        <f>+K53*('WPI time series'!L34/'WPI time series'!K34)</f>
        <v>104.16666666666664</v>
      </c>
      <c r="M53" s="61">
        <f>+L53*('WPI time series'!M34/'WPI time series'!L34)</f>
        <v>104.99999999999997</v>
      </c>
      <c r="N53" s="61">
        <f>+M53*('WPI time series'!N34/'WPI time series'!M34)</f>
        <v>105.8333333333333</v>
      </c>
      <c r="O53" s="61">
        <f>+N53*('WPI time series'!O34/'WPI time series'!N34)</f>
        <v>106.66666666666663</v>
      </c>
      <c r="P53" s="61">
        <f>+O53*('WPI time series'!P34/'WPI time series'!O34)</f>
        <v>107.49999999999996</v>
      </c>
      <c r="Q53" s="61">
        <f>+P53*('WPI time series'!Q34/'WPI time series'!P34)</f>
        <v>108.33333333333329</v>
      </c>
      <c r="R53" s="61">
        <f>+Q53*('WPI time series'!R34/'WPI time series'!Q34)</f>
        <v>107.49999999999996</v>
      </c>
      <c r="S53" s="61">
        <f>+R53*('WPI time series'!S34/'WPI time series'!R34)</f>
        <v>106.66666666666663</v>
      </c>
      <c r="T53" s="61">
        <f>+S53*('WPI time series'!T34/'WPI time series'!S34)</f>
        <v>104.99999999999996</v>
      </c>
      <c r="U53" s="61">
        <f>+T53*('WPI time series'!U34/'WPI time series'!T34)</f>
        <v>103.33333333333329</v>
      </c>
      <c r="V53" s="61">
        <f>+U53*('WPI time series'!V34/'WPI time series'!U34)</f>
        <v>104.16666666666661</v>
      </c>
      <c r="W53" s="61">
        <f>+V53*('WPI time series'!W34/'WPI time series'!V34)</f>
        <v>104.99999999999994</v>
      </c>
      <c r="X53" s="61">
        <f>+W53*('WPI time series'!X34/'WPI time series'!W34)</f>
        <v>104.99999999999994</v>
      </c>
    </row>
    <row r="54" spans="1:24">
      <c r="A54" t="str">
        <f>+'WPI time series'!A35</f>
        <v>Physical activity</v>
      </c>
      <c r="B54">
        <f>+'WPI time series'!B35/'WPI time series'!B35*100</f>
        <v>100</v>
      </c>
      <c r="C54" s="61">
        <f>+B54*('WPI time series'!C35/'WPI time series'!B35)</f>
        <v>100</v>
      </c>
      <c r="D54" s="61">
        <f>+C54*('WPI time series'!D35/'WPI time series'!C35)</f>
        <v>100</v>
      </c>
      <c r="E54" s="61">
        <f>+D54*('WPI time series'!E35/'WPI time series'!D35)</f>
        <v>100</v>
      </c>
      <c r="F54" s="61">
        <f>+E54*('WPI time series'!F35/'WPI time series'!E35)</f>
        <v>100</v>
      </c>
      <c r="G54" s="61">
        <f>+F54*('WPI time series'!G35/'WPI time series'!F35)</f>
        <v>100</v>
      </c>
      <c r="H54" s="61">
        <f>+G54*('WPI time series'!H35/'WPI time series'!G35)</f>
        <v>97.704918032786878</v>
      </c>
      <c r="I54" s="61">
        <f>+H54*('WPI time series'!I35/'WPI time series'!H35)</f>
        <v>95.409836065573757</v>
      </c>
      <c r="J54" s="61">
        <f>+I54*('WPI time series'!J35/'WPI time series'!I35)</f>
        <v>93.114754098360635</v>
      </c>
      <c r="K54" s="61">
        <f>+J54*('WPI time series'!K35/'WPI time series'!J35)</f>
        <v>90.819672131147513</v>
      </c>
      <c r="L54" s="61">
        <f>+K54*('WPI time series'!L35/'WPI time series'!K35)</f>
        <v>88.524590163934391</v>
      </c>
      <c r="M54" s="61">
        <f>+L54*('WPI time series'!M35/'WPI time series'!L35)</f>
        <v>86.229508196721284</v>
      </c>
      <c r="N54" s="61">
        <f>+M54*('WPI time series'!N35/'WPI time series'!M35)</f>
        <v>83.934426229508176</v>
      </c>
      <c r="O54" s="61">
        <f>+N54*('WPI time series'!O35/'WPI time series'!N35)</f>
        <v>81.639344262295069</v>
      </c>
      <c r="P54" s="61">
        <f>+O54*('WPI time series'!P35/'WPI time series'!O35)</f>
        <v>79.344262295081947</v>
      </c>
      <c r="Q54" s="61">
        <f>+P54*('WPI time series'!Q35/'WPI time series'!P35)</f>
        <v>77.049180327868854</v>
      </c>
      <c r="R54" s="61">
        <f>+Q54*('WPI time series'!R35/'WPI time series'!Q35)</f>
        <v>71.311475409836078</v>
      </c>
      <c r="S54" s="61">
        <f>+R54*('WPI time series'!S35/'WPI time series'!R35)</f>
        <v>65.573770491803302</v>
      </c>
      <c r="T54" s="61">
        <f>+S54*('WPI time series'!T35/'WPI time series'!S35)</f>
        <v>61.475409836065595</v>
      </c>
      <c r="U54" s="61">
        <f>+T54*('WPI time series'!U35/'WPI time series'!T35)</f>
        <v>57.37704918032788</v>
      </c>
      <c r="V54" s="61">
        <f>+U54*('WPI time series'!V35/'WPI time series'!U35)</f>
        <v>62.295081967213136</v>
      </c>
      <c r="W54" s="61">
        <f>+V54*('WPI time series'!W35/'WPI time series'!V35)</f>
        <v>67.213114754098385</v>
      </c>
      <c r="X54" s="61">
        <f>+W54*('WPI time series'!X35/'WPI time series'!W35)</f>
        <v>67.213114754098385</v>
      </c>
    </row>
    <row r="55" spans="1:24">
      <c r="A55" t="str">
        <f>+'WPI time series'!A36</f>
        <v>Public transport</v>
      </c>
      <c r="B55">
        <f>+'WPI time series'!B36/'WPI time series'!B36*100</f>
        <v>100</v>
      </c>
      <c r="C55" s="61">
        <f>+B55*('WPI time series'!C36/'WPI time series'!B36)</f>
        <v>103.78619773370713</v>
      </c>
      <c r="D55" s="61">
        <f>+C55*('WPI time series'!D36/'WPI time series'!C36)</f>
        <v>106.61474601348019</v>
      </c>
      <c r="E55" s="61">
        <f>+D55*('WPI time series'!E36/'WPI time series'!D36)</f>
        <v>117.5883674193167</v>
      </c>
      <c r="F55" s="61">
        <f>+E55*('WPI time series'!F36/'WPI time series'!E36)</f>
        <v>121.24130050551456</v>
      </c>
      <c r="G55" s="61">
        <f>+F55*('WPI time series'!G36/'WPI time series'!F36)</f>
        <v>131.41324596055014</v>
      </c>
      <c r="H55" s="61">
        <f>+G55*('WPI time series'!H36/'WPI time series'!G36)</f>
        <v>174.61370746042277</v>
      </c>
      <c r="I55" s="61">
        <f>+H55*('WPI time series'!I36/'WPI time series'!H36)</f>
        <v>217.41928390334769</v>
      </c>
      <c r="J55" s="61">
        <f>+I55*('WPI time series'!J36/'WPI time series'!I36)</f>
        <v>265.93160897145157</v>
      </c>
      <c r="K55" s="61">
        <f>+J55*('WPI time series'!K36/'WPI time series'!J36)</f>
        <v>262.1915426959074</v>
      </c>
      <c r="L55" s="61">
        <f>+K55*('WPI time series'!L36/'WPI time series'!K36)</f>
        <v>248.72552008738927</v>
      </c>
      <c r="M55" s="61">
        <f>+L55*('WPI time series'!M36/'WPI time series'!L36)</f>
        <v>253.48895077875864</v>
      </c>
      <c r="N55" s="61">
        <f>+M55*('WPI time series'!N36/'WPI time series'!M36)</f>
        <v>243.55300781178315</v>
      </c>
      <c r="O55" s="61">
        <f>+N55*('WPI time series'!O36/'WPI time series'!N36)</f>
        <v>241.8088338118865</v>
      </c>
      <c r="P55" s="61">
        <f>+O55*('WPI time series'!P36/'WPI time series'!O36)</f>
        <v>234.91150447833098</v>
      </c>
      <c r="Q55" s="61">
        <f>+P55*('WPI time series'!Q36/'WPI time series'!P36)</f>
        <v>215.84112173603785</v>
      </c>
      <c r="R55" s="61">
        <f>+Q55*('WPI time series'!R36/'WPI time series'!Q36)</f>
        <v>205.19062019271055</v>
      </c>
      <c r="S55" s="61">
        <f>+R55*('WPI time series'!S36/'WPI time series'!R36)</f>
        <v>200.55584055137462</v>
      </c>
      <c r="T55" s="61">
        <f>+S55*('WPI time series'!T36/'WPI time series'!S36)</f>
        <v>197.42767284599284</v>
      </c>
      <c r="U55" s="61">
        <f>+T55*('WPI time series'!U36/'WPI time series'!T36)</f>
        <v>169.36601562804324</v>
      </c>
      <c r="V55" s="61">
        <f>+U55*('WPI time series'!V36/'WPI time series'!U36)</f>
        <v>154.63644041976983</v>
      </c>
      <c r="W55" s="61">
        <f>+V55*('WPI time series'!W36/'WPI time series'!V36)</f>
        <v>113.20639924960537</v>
      </c>
      <c r="X55" s="61">
        <f>+W55*('WPI time series'!X36/'WPI time series'!W36)</f>
        <v>153.21111321514311</v>
      </c>
    </row>
    <row r="56" spans="1:24">
      <c r="A56" t="str">
        <f>+'WPI time series'!A37</f>
        <v>Road safety</v>
      </c>
      <c r="B56">
        <f>+'WPI time series'!B37/'WPI time series'!B37*100</f>
        <v>100</v>
      </c>
      <c r="C56" s="61">
        <f>+B56*('WPI time series'!B37/'WPI time series'!C37)</f>
        <v>100</v>
      </c>
      <c r="D56" s="61">
        <f>+C56*('WPI time series'!C37/'WPI time series'!D37)</f>
        <v>100</v>
      </c>
      <c r="E56" s="61">
        <f>+D56*('WPI time series'!D37/'WPI time series'!E37)</f>
        <v>100</v>
      </c>
      <c r="F56" s="61">
        <f>+E56*('WPI time series'!E37/'WPI time series'!F37)</f>
        <v>96.209453775506418</v>
      </c>
      <c r="G56" s="61">
        <f>+F56*('WPI time series'!F37/'WPI time series'!G37)</f>
        <v>104.86879875879491</v>
      </c>
      <c r="H56" s="61">
        <f>+G56*('WPI time series'!G37/'WPI time series'!H37)</f>
        <v>93.658296092888776</v>
      </c>
      <c r="I56" s="61">
        <f>+H56*('WPI time series'!H37/'WPI time series'!I37)</f>
        <v>105.5930763659388</v>
      </c>
      <c r="J56" s="61">
        <f>+I56*('WPI time series'!I37/'WPI time series'!J37)</f>
        <v>118.33969775734914</v>
      </c>
      <c r="K56" s="61">
        <f>+J56*('WPI time series'!J37/'WPI time series'!K37)</f>
        <v>124.31273722887659</v>
      </c>
      <c r="L56" s="61">
        <f>+K56*('WPI time series'!K37/'WPI time series'!L37)</f>
        <v>132.17042094725605</v>
      </c>
      <c r="M56" s="61">
        <f>+L56*('WPI time series'!L37/'WPI time series'!M37)</f>
        <v>140.57117943282447</v>
      </c>
      <c r="N56" s="61">
        <f>+M56*('WPI time series'!M37/'WPI time series'!N37)</f>
        <v>169.89554162964029</v>
      </c>
      <c r="O56" s="61">
        <f>+N56*('WPI time series'!N37/'WPI time series'!O37)</f>
        <v>158.34980558238448</v>
      </c>
      <c r="P56" s="61">
        <f>+O56*('WPI time series'!O37/'WPI time series'!P37)</f>
        <v>132.88805492780526</v>
      </c>
      <c r="Q56" s="61">
        <f>+P56*('WPI time series'!P37/'WPI time series'!Q37)</f>
        <v>136.26967636666052</v>
      </c>
      <c r="R56" s="61">
        <f>+Q56*('WPI time series'!Q37/'WPI time series'!R37)</f>
        <v>129.16446896685832</v>
      </c>
      <c r="S56" s="61">
        <f>+R56*('WPI time series'!R37/'WPI time series'!S37)</f>
        <v>126.98210900568054</v>
      </c>
      <c r="T56" s="61">
        <f>+S56*('WPI time series'!S37/'WPI time series'!T37)</f>
        <v>132.53615232568305</v>
      </c>
      <c r="U56" s="61">
        <f>+T56*('WPI time series'!T37/'WPI time series'!U37)</f>
        <v>149.95793411146832</v>
      </c>
      <c r="V56" s="61">
        <f>+U56*('WPI time series'!U37/'WPI time series'!V37)</f>
        <v>155.7143515684549</v>
      </c>
      <c r="W56" s="61">
        <f>+V56*('WPI time series'!V37/'WPI time series'!W37)</f>
        <v>135.57366783898809</v>
      </c>
      <c r="X56" s="61">
        <f>+W56*('WPI time series'!W37/'WPI time series'!X37)</f>
        <v>135.57366783898809</v>
      </c>
    </row>
    <row r="57" spans="1:24">
      <c r="A57" t="str">
        <f>+'WPI time series'!A38</f>
        <v>Social connectedness</v>
      </c>
      <c r="B57">
        <f>+'WPI time series'!B38/'WPI time series'!B38*100</f>
        <v>100</v>
      </c>
      <c r="C57" s="61">
        <f>+B57*('WPI time series'!C38/'WPI time series'!B38)</f>
        <v>100</v>
      </c>
      <c r="D57" s="61">
        <f>+C57*('WPI time series'!D38/'WPI time series'!C38)</f>
        <v>100</v>
      </c>
      <c r="E57" s="61">
        <f>+D57*('WPI time series'!E38/'WPI time series'!D38)</f>
        <v>100</v>
      </c>
      <c r="F57" s="61">
        <f>+E57*('WPI time series'!F38/'WPI time series'!E38)</f>
        <v>100</v>
      </c>
      <c r="G57" s="61">
        <f>+F57*('WPI time series'!G38/'WPI time series'!F38)</f>
        <v>100</v>
      </c>
      <c r="H57" s="61">
        <f>+G57*('WPI time series'!H38/'WPI time series'!G38)</f>
        <v>100.31746031746032</v>
      </c>
      <c r="I57" s="61">
        <f>+H57*('WPI time series'!I38/'WPI time series'!H38)</f>
        <v>100.63492063492063</v>
      </c>
      <c r="J57" s="61">
        <f>+I57*('WPI time series'!J38/'WPI time series'!I38)</f>
        <v>100.95238095238095</v>
      </c>
      <c r="K57" s="61">
        <f>+J57*('WPI time series'!K38/'WPI time series'!J38)</f>
        <v>101.26984126984128</v>
      </c>
      <c r="L57" s="61">
        <f>+K57*('WPI time series'!L38/'WPI time series'!K38)</f>
        <v>101.58730158730158</v>
      </c>
      <c r="M57" s="61">
        <f>+L57*('WPI time series'!M38/'WPI time series'!L38)</f>
        <v>101.9047619047619</v>
      </c>
      <c r="N57" s="61">
        <f>+M57*('WPI time series'!N38/'WPI time series'!M38)</f>
        <v>102.22222222222223</v>
      </c>
      <c r="O57" s="61">
        <f>+N57*('WPI time series'!O38/'WPI time series'!N38)</f>
        <v>102.53968253968254</v>
      </c>
      <c r="P57" s="61">
        <f>+O57*('WPI time series'!P38/'WPI time series'!O38)</f>
        <v>102.85714285714286</v>
      </c>
      <c r="Q57" s="61">
        <f>+P57*('WPI time series'!Q38/'WPI time series'!P38)</f>
        <v>103.17460317460318</v>
      </c>
      <c r="R57" s="61">
        <f>+Q57*('WPI time series'!R38/'WPI time series'!Q38)</f>
        <v>100.7936507936508</v>
      </c>
      <c r="S57" s="61">
        <f>+R57*('WPI time series'!S38/'WPI time series'!R38)</f>
        <v>98.412698412698404</v>
      </c>
      <c r="T57" s="61">
        <f>+S57*('WPI time series'!T38/'WPI time series'!S38)</f>
        <v>93.650793650793659</v>
      </c>
      <c r="U57" s="61">
        <f>+T57*('WPI time series'!U38/'WPI time series'!T38)</f>
        <v>88.888888888888886</v>
      </c>
      <c r="V57" s="61">
        <f>+U57*('WPI time series'!V38/'WPI time series'!U38)</f>
        <v>89.682539682539655</v>
      </c>
      <c r="W57" s="61">
        <f>+V57*('WPI time series'!W38/'WPI time series'!V38)</f>
        <v>90.476190476190453</v>
      </c>
      <c r="X57" s="61">
        <f>+W57*('WPI time series'!X38/'WPI time series'!W38)</f>
        <v>90.476190476190453</v>
      </c>
    </row>
    <row r="58" spans="1:24">
      <c r="A58" t="str">
        <f>+'WPI time series'!A39</f>
        <v>Te Reo Māori speakers</v>
      </c>
      <c r="B58">
        <f>+'WPI time series'!B39/'WPI time series'!B39*100</f>
        <v>100</v>
      </c>
      <c r="C58" s="61">
        <f>+B58*('WPI time series'!C39/'WPI time series'!B39)</f>
        <v>98.191589795552659</v>
      </c>
      <c r="D58" s="61">
        <f>+C58*('WPI time series'!D39/'WPI time series'!C39)</f>
        <v>96.383179591105318</v>
      </c>
      <c r="E58" s="61">
        <f>+D58*('WPI time series'!E39/'WPI time series'!D39)</f>
        <v>94.574769386657977</v>
      </c>
      <c r="F58" s="61">
        <f>+E58*('WPI time series'!F39/'WPI time series'!E39)</f>
        <v>92.766359182210635</v>
      </c>
      <c r="G58" s="61">
        <f>+F58*('WPI time series'!G39/'WPI time series'!F39)</f>
        <v>90.957948977763309</v>
      </c>
      <c r="H58" s="61">
        <f>+G58*('WPI time series'!H39/'WPI time series'!G39)</f>
        <v>89.769586015006652</v>
      </c>
      <c r="I58" s="61">
        <f>+H58*('WPI time series'!I39/'WPI time series'!H39)</f>
        <v>88.581223052249996</v>
      </c>
      <c r="J58" s="61">
        <f>+I58*('WPI time series'!J39/'WPI time series'!I39)</f>
        <v>87.39286008949334</v>
      </c>
      <c r="K58" s="61">
        <f>+J58*('WPI time series'!K39/'WPI time series'!J39)</f>
        <v>86.204497126736683</v>
      </c>
      <c r="L58" s="61">
        <f>+K58*('WPI time series'!L39/'WPI time series'!K39)</f>
        <v>85.016134163980027</v>
      </c>
      <c r="M58" s="61">
        <f>+L58*('WPI time series'!M39/'WPI time series'!L39)</f>
        <v>83.827771201223371</v>
      </c>
      <c r="N58" s="61">
        <f>+M58*('WPI time series'!N39/'WPI time series'!M39)</f>
        <v>82.6394082384667</v>
      </c>
      <c r="O58" s="61">
        <f>+N58*('WPI time series'!O39/'WPI time series'!N39)</f>
        <v>84.585595392671337</v>
      </c>
      <c r="P58" s="61">
        <f>+O58*('WPI time series'!P39/'WPI time series'!O39)</f>
        <v>86.531782546875988</v>
      </c>
      <c r="Q58" s="61">
        <f>+P58*('WPI time series'!Q39/'WPI time series'!P39)</f>
        <v>88.477969701080639</v>
      </c>
      <c r="R58" s="61">
        <f>+Q58*('WPI time series'!R39/'WPI time series'!Q39)</f>
        <v>90.42415685528529</v>
      </c>
      <c r="S58" s="61">
        <f>+R58*('WPI time series'!S39/'WPI time series'!R39)</f>
        <v>92.370344009489912</v>
      </c>
      <c r="T58" s="61">
        <f>+S58*('WPI time series'!T39/'WPI time series'!S39)</f>
        <v>92.370344009489912</v>
      </c>
      <c r="U58" s="61">
        <f>+T58*('WPI time series'!U39/'WPI time series'!T39)</f>
        <v>92.370344009489912</v>
      </c>
      <c r="V58" s="61">
        <f>+U58*('WPI time series'!V39/'WPI time series'!U39)</f>
        <v>92.370344009489912</v>
      </c>
      <c r="W58" s="61">
        <f>+V58*('WPI time series'!W39/'WPI time series'!V39)</f>
        <v>92.370344009489912</v>
      </c>
      <c r="X58" s="61">
        <f>+W58*('WPI time series'!X39/'WPI time series'!W39)</f>
        <v>92.370344009489912</v>
      </c>
    </row>
    <row r="59" spans="1:24">
      <c r="A59" t="str">
        <f>+'WPI time series'!A40</f>
        <v>Voter turnout</v>
      </c>
      <c r="B59">
        <f>+'WPI time series'!B40/'WPI time series'!B40*100</f>
        <v>100</v>
      </c>
      <c r="C59" s="61">
        <f>+B59*('WPI time series'!C40/'WPI time series'!B40)</f>
        <v>100</v>
      </c>
      <c r="D59" s="61">
        <f>+C59*('WPI time series'!D40/'WPI time series'!C40)</f>
        <v>100</v>
      </c>
      <c r="E59" s="61">
        <f>+D59*('WPI time series'!E40/'WPI time series'!D40)</f>
        <v>100</v>
      </c>
      <c r="F59" s="61">
        <f>+E59*('WPI time series'!F40/'WPI time series'!E40)</f>
        <v>100</v>
      </c>
      <c r="G59" s="61">
        <f>+F59*('WPI time series'!G40/'WPI time series'!F40)</f>
        <v>100</v>
      </c>
      <c r="H59" s="61">
        <f>+G59*('WPI time series'!H40/'WPI time series'!G40)</f>
        <v>100</v>
      </c>
      <c r="I59" s="61">
        <f>+H59*('WPI time series'!I40/'WPI time series'!H40)</f>
        <v>103.08442922440445</v>
      </c>
      <c r="J59" s="61">
        <f>+I59*('WPI time series'!J40/'WPI time series'!I40)</f>
        <v>106.16885844880886</v>
      </c>
      <c r="K59" s="61">
        <f>+J59*('WPI time series'!K40/'WPI time series'!J40)</f>
        <v>109.25328767321328</v>
      </c>
      <c r="L59" s="61">
        <f>+K59*('WPI time series'!L40/'WPI time series'!K40)</f>
        <v>107.36232922671249</v>
      </c>
      <c r="M59" s="61">
        <f>+L59*('WPI time series'!M40/'WPI time series'!L40)</f>
        <v>105.4713707802117</v>
      </c>
      <c r="N59" s="61">
        <f>+M59*('WPI time series'!N40/'WPI time series'!M40)</f>
        <v>103.58041233371092</v>
      </c>
      <c r="O59" s="61">
        <f>+N59*('WPI time series'!O40/'WPI time series'!N40)</f>
        <v>101.60799398838729</v>
      </c>
      <c r="P59" s="61">
        <f>+O59*('WPI time series'!P40/'WPI time series'!O40)</f>
        <v>99.63557564306366</v>
      </c>
      <c r="Q59" s="61">
        <f>+P59*('WPI time series'!Q40/'WPI time series'!P40)</f>
        <v>97.663157297740028</v>
      </c>
      <c r="R59" s="61">
        <f>+Q59*('WPI time series'!R40/'WPI time series'!Q40)</f>
        <v>102.64878557011201</v>
      </c>
      <c r="S59" s="61">
        <f>+R59*('WPI time series'!S40/'WPI time series'!R40)</f>
        <v>107.63441384248399</v>
      </c>
      <c r="T59" s="61">
        <f>+S59*('WPI time series'!T40/'WPI time series'!S40)</f>
        <v>112.62004211485596</v>
      </c>
      <c r="U59" s="61">
        <f>+T59*('WPI time series'!U40/'WPI time series'!T40)</f>
        <v>107.90297400951285</v>
      </c>
      <c r="V59" s="61">
        <f>+U59*('WPI time series'!V40/'WPI time series'!U40)</f>
        <v>103.18590590416974</v>
      </c>
      <c r="W59" s="61">
        <f>+V59*('WPI time series'!W40/'WPI time series'!V40)</f>
        <v>98.468837798826641</v>
      </c>
      <c r="X59" s="61">
        <f>+W59*('WPI time series'!X40/'WPI time series'!W40)</f>
        <v>98.468837798826641</v>
      </c>
    </row>
    <row r="60" spans="1:24">
      <c r="A60" t="str">
        <f>+'WPI time series'!A41</f>
        <v>Air quality</v>
      </c>
      <c r="B60">
        <f>+'WPI time series'!B41/'WPI time series'!B41*100</f>
        <v>100</v>
      </c>
      <c r="C60" s="61">
        <f>+B60*('WPI time series'!B41/'WPI time series'!C41)</f>
        <v>100</v>
      </c>
      <c r="D60" s="61">
        <f>+C60*('WPI time series'!C41/'WPI time series'!D41)</f>
        <v>62.962962962962962</v>
      </c>
      <c r="E60" s="61">
        <f>+D60*('WPI time series'!D41/'WPI time series'!E41)</f>
        <v>34</v>
      </c>
      <c r="F60" s="61">
        <f>+E60*('WPI time series'!E41/'WPI time series'!F41)</f>
        <v>44.736842105263165</v>
      </c>
      <c r="G60" s="61">
        <f>+F60*('WPI time series'!F41/'WPI time series'!G41)</f>
        <v>36.170212765957451</v>
      </c>
      <c r="H60" s="61">
        <f>+G60*('WPI time series'!G41/'WPI time series'!H41)</f>
        <v>85.000000000000014</v>
      </c>
      <c r="I60" s="61">
        <f>+H60*('WPI time series'!H41/'WPI time series'!I41)</f>
        <v>60.714285714285722</v>
      </c>
      <c r="J60" s="61">
        <f>+I60*('WPI time series'!I41/'WPI time series'!J41)</f>
        <v>44.736842105263165</v>
      </c>
      <c r="K60" s="61">
        <f>+J60*('WPI time series'!J41/'WPI time series'!K41)</f>
        <v>77.27272727272728</v>
      </c>
      <c r="L60" s="61">
        <f>+K60*('WPI time series'!K41/'WPI time series'!L41)</f>
        <v>85.000000000000014</v>
      </c>
      <c r="M60" s="61">
        <f>+L60*('WPI time series'!L41/'WPI time series'!M41)</f>
        <v>100.00000000000001</v>
      </c>
      <c r="N60" s="61">
        <f>+M60*('WPI time series'!M41/'WPI time series'!N41)</f>
        <v>141.66666666666669</v>
      </c>
      <c r="O60" s="61">
        <f>+N60*('WPI time series'!N41/'WPI time series'!O41)</f>
        <v>154.54545454545456</v>
      </c>
      <c r="P60" s="61">
        <f>+O60*('WPI time series'!O41/'WPI time series'!P41)</f>
        <v>170.00000000000003</v>
      </c>
      <c r="Q60" s="61">
        <f>+P60*('WPI time series'!P41/'WPI time series'!Q41)</f>
        <v>340.00000000000006</v>
      </c>
      <c r="R60" s="61">
        <f>+Q60*('WPI time series'!Q41/'WPI time series'!R41)</f>
        <v>141.66666666666669</v>
      </c>
      <c r="S60" s="61">
        <f>Q60</f>
        <v>340.00000000000006</v>
      </c>
      <c r="T60" s="61">
        <f>+S60*('WPI time series'!S41/'WPI time series'!T41)</f>
        <v>136.00000000000003</v>
      </c>
      <c r="U60" s="61">
        <f>+T60*('WPI time series'!T41/'WPI time series'!U41)</f>
        <v>52.307692307692321</v>
      </c>
      <c r="V60" s="61">
        <f>+U60*('WPI time series'!U41/'WPI time series'!V41)</f>
        <v>17.435897435897438</v>
      </c>
      <c r="W60" s="61">
        <f>+V60*('WPI time series'!V41/'WPI time series'!W41)</f>
        <v>45.333333333333343</v>
      </c>
      <c r="X60" s="61">
        <f>+W60*('WPI time series'!W41/'WPI time series'!X41)</f>
        <v>37.777777777777786</v>
      </c>
    </row>
    <row r="61" spans="1:24">
      <c r="A61" t="str">
        <f>+'WPI time series'!A42</f>
        <v>Coastal ecosystem health</v>
      </c>
      <c r="B61">
        <f>+'WPI time series'!B42/'WPI time series'!B42*100</f>
        <v>100</v>
      </c>
      <c r="C61" s="61">
        <f>+B61*('WPI time series'!C42/'WPI time series'!B42)</f>
        <v>100</v>
      </c>
      <c r="D61" s="61">
        <f>+C61*('WPI time series'!D42/'WPI time series'!C42)</f>
        <v>100</v>
      </c>
      <c r="E61" s="61">
        <f>+D61*('WPI time series'!E42/'WPI time series'!D42)</f>
        <v>100</v>
      </c>
      <c r="F61" s="61">
        <f>+E61*('WPI time series'!F42/'WPI time series'!E42)</f>
        <v>100</v>
      </c>
      <c r="G61" s="61">
        <f>+F61*('WPI time series'!G42/'WPI time series'!F42)</f>
        <v>100</v>
      </c>
      <c r="H61" s="61">
        <f>+G61*('WPI time series'!H42/'WPI time series'!G42)</f>
        <v>100</v>
      </c>
      <c r="I61" s="61">
        <f>+H61*('WPI time series'!I42/'WPI time series'!H42)</f>
        <v>100</v>
      </c>
      <c r="J61" s="61">
        <f>+I61*('WPI time series'!J42/'WPI time series'!I42)</f>
        <v>100</v>
      </c>
      <c r="K61" s="61">
        <f>+J61*('WPI time series'!K42/'WPI time series'!J42)</f>
        <v>100</v>
      </c>
      <c r="L61" s="61">
        <f>+K61*('WPI time series'!L42/'WPI time series'!K42)</f>
        <v>100</v>
      </c>
      <c r="M61" s="61">
        <f>+L61*('WPI time series'!M42/'WPI time series'!L42)</f>
        <v>100</v>
      </c>
      <c r="N61" s="61">
        <f>+M61*('WPI time series'!N42/'WPI time series'!M42)</f>
        <v>94.847328244274806</v>
      </c>
      <c r="O61" s="61">
        <f>+N61*('WPI time series'!O42/'WPI time series'!N42)</f>
        <v>94.083969465648835</v>
      </c>
      <c r="P61" s="61">
        <f>+O61*('WPI time series'!P42/'WPI time series'!O42)</f>
        <v>95.381679389312964</v>
      </c>
      <c r="Q61" s="61">
        <f>+P61*('WPI time series'!Q42/'WPI time series'!P42)</f>
        <v>102.26335877862593</v>
      </c>
      <c r="R61" s="61">
        <f>+Q61*('WPI time series'!R42/'WPI time series'!Q42)</f>
        <v>98.558524173027976</v>
      </c>
      <c r="S61" s="61">
        <f>+R61*('WPI time series'!S42/'WPI time series'!R42)</f>
        <v>97.830788804071233</v>
      </c>
      <c r="T61" s="61">
        <f>+S61*('WPI time series'!T42/'WPI time series'!S42)</f>
        <v>89.22437295528897</v>
      </c>
      <c r="U61" s="61">
        <f>+T61*('WPI time series'!U42/'WPI time series'!T42)</f>
        <v>100.24011911274737</v>
      </c>
      <c r="V61" s="61">
        <f>+U61*('WPI time series'!V42/'WPI time series'!U42)</f>
        <v>95.729666605720553</v>
      </c>
      <c r="W61" s="61">
        <f>+V61*('WPI time series'!W42/'WPI time series'!V42)</f>
        <v>95.729666605720553</v>
      </c>
      <c r="X61" s="61">
        <f>+W61*('WPI time series'!X42/'WPI time series'!W42)</f>
        <v>95.729666605720553</v>
      </c>
    </row>
    <row r="62" spans="1:24">
      <c r="A62" t="str">
        <f>+'WPI time series'!A43</f>
        <v>Environmental attitudes</v>
      </c>
      <c r="B62">
        <f>+'WPI time series'!B43/'WPI time series'!B43*100</f>
        <v>100</v>
      </c>
      <c r="C62" s="61">
        <f>+B62*('WPI time series'!C43/'WPI time series'!B43)</f>
        <v>100</v>
      </c>
      <c r="D62" s="61">
        <f>+C62*('WPI time series'!D43/'WPI time series'!C43)</f>
        <v>100</v>
      </c>
      <c r="E62" s="61">
        <f>+D62*('WPI time series'!E43/'WPI time series'!D43)</f>
        <v>100</v>
      </c>
      <c r="F62" s="61">
        <f>+E62*('WPI time series'!F43/'WPI time series'!E43)</f>
        <v>102.68065268065267</v>
      </c>
      <c r="G62" s="61">
        <f>+F62*('WPI time series'!G43/'WPI time series'!F43)</f>
        <v>105.36130536130534</v>
      </c>
      <c r="H62" s="61">
        <f>+G62*('WPI time series'!H43/'WPI time series'!G43)</f>
        <v>108.04195804195803</v>
      </c>
      <c r="I62" s="61">
        <f>+H62*('WPI time series'!I43/'WPI time series'!H43)</f>
        <v>110.72261072261072</v>
      </c>
      <c r="J62" s="61">
        <f>+I62*('WPI time series'!J43/'WPI time series'!I43)</f>
        <v>111.62911162911165</v>
      </c>
      <c r="K62" s="61">
        <f>+J62*('WPI time series'!K43/'WPI time series'!J43)</f>
        <v>112.53561253561256</v>
      </c>
      <c r="L62" s="61">
        <f>+K62*('WPI time series'!L43/'WPI time series'!K43)</f>
        <v>113.44211344211347</v>
      </c>
      <c r="M62" s="61">
        <f>+L62*('WPI time series'!M43/'WPI time series'!L43)</f>
        <v>114.34861434861438</v>
      </c>
      <c r="N62" s="61">
        <f>+M62*('WPI time series'!N43/'WPI time series'!M43)</f>
        <v>115.25511525511526</v>
      </c>
      <c r="O62" s="61">
        <f>+N62*('WPI time series'!O43/'WPI time series'!N43)</f>
        <v>114.8234481567815</v>
      </c>
      <c r="P62" s="61">
        <f>+O62*('WPI time series'!P43/'WPI time series'!O43)</f>
        <v>114.39178105844773</v>
      </c>
      <c r="Q62" s="61">
        <f>+P62*('WPI time series'!Q43/'WPI time series'!P43)</f>
        <v>113.96011396011397</v>
      </c>
      <c r="R62" s="61">
        <f>+Q62*('WPI time series'!R43/'WPI time series'!Q43)</f>
        <v>113.52844686178021</v>
      </c>
      <c r="S62" s="61">
        <f>+R62*('WPI time series'!S43/'WPI time series'!R43)</f>
        <v>113.09677976344645</v>
      </c>
      <c r="T62" s="61">
        <f>+S62*('WPI time series'!T43/'WPI time series'!S43)</f>
        <v>112.66511266511267</v>
      </c>
      <c r="U62" s="61">
        <f>+T62*('WPI time series'!U43/'WPI time series'!T43)</f>
        <v>110.93844427177761</v>
      </c>
      <c r="V62" s="61">
        <f>+U62*('WPI time series'!V43/'WPI time series'!U43)</f>
        <v>109.21177587844255</v>
      </c>
      <c r="W62" s="61">
        <f>+V62*('WPI time series'!W43/'WPI time series'!V43)</f>
        <v>107.48510748510748</v>
      </c>
      <c r="X62" s="61">
        <f>+W62*('WPI time series'!X43/'WPI time series'!W43)</f>
        <v>107.48510748510748</v>
      </c>
    </row>
    <row r="63" spans="1:24">
      <c r="A63" t="str">
        <f>+'WPI time series'!A44</f>
        <v>Greenhouse gases</v>
      </c>
      <c r="B63">
        <f>+'WPI time series'!B44/'WPI time series'!B44*100</f>
        <v>100</v>
      </c>
      <c r="C63" s="61">
        <f>+B63*('WPI time series'!B44/'WPI time series'!C44)</f>
        <v>100</v>
      </c>
      <c r="D63" s="61">
        <f>+C63*('WPI time series'!C44/'WPI time series'!D44)</f>
        <v>100</v>
      </c>
      <c r="E63" s="61">
        <f>+D63*('WPI time series'!D44/'WPI time series'!E44)</f>
        <v>100</v>
      </c>
      <c r="F63" s="61">
        <f>+E63*('WPI time series'!E44/'WPI time series'!F44)</f>
        <v>100</v>
      </c>
      <c r="G63" s="61">
        <f>+F63*('WPI time series'!F44/'WPI time series'!G44)</f>
        <v>100</v>
      </c>
      <c r="H63" s="61">
        <f>+G63*('WPI time series'!G44/'WPI time series'!H44)</f>
        <v>100</v>
      </c>
      <c r="I63" s="61">
        <f>+H63*('WPI time series'!H44/'WPI time series'!I44)</f>
        <v>90.111929131501753</v>
      </c>
      <c r="J63" s="61">
        <f>+I63*('WPI time series'!I44/'WPI time series'!J44)</f>
        <v>97.632944228274965</v>
      </c>
      <c r="K63" s="61">
        <f>+J63*('WPI time series'!J44/'WPI time series'!K44)</f>
        <v>103.94945798522406</v>
      </c>
      <c r="L63" s="61">
        <f>+K63*('WPI time series'!K44/'WPI time series'!L44)</f>
        <v>102.96129120503352</v>
      </c>
      <c r="M63" s="61">
        <f>+L63*('WPI time series'!L44/'WPI time series'!M44)</f>
        <v>95.068199040161659</v>
      </c>
      <c r="N63" s="61">
        <f>+M63*('WPI time series'!M44/'WPI time series'!N44)</f>
        <v>101.20328045173434</v>
      </c>
      <c r="O63" s="61">
        <f>+N63*('WPI time series'!N44/'WPI time series'!O44)</f>
        <v>102.20638153428376</v>
      </c>
      <c r="P63" s="61">
        <f>+O63*('WPI time series'!O44/'WPI time series'!P44)</f>
        <v>103.85623620309049</v>
      </c>
      <c r="Q63" s="61">
        <f>+P63*('WPI time series'!P44/'WPI time series'!Q44)</f>
        <v>106.23059554050238</v>
      </c>
      <c r="R63" s="61">
        <f>+Q63*('WPI time series'!Q44/'WPI time series'!R44)</f>
        <v>105.0959860383944</v>
      </c>
      <c r="S63" s="61">
        <f>+R63*('WPI time series'!R44/'WPI time series'!S44)</f>
        <v>102.91905933825538</v>
      </c>
      <c r="T63" s="61">
        <f>+S63*('WPI time series'!S44/'WPI time series'!T44)</f>
        <v>96.426055210401572</v>
      </c>
      <c r="U63" s="61">
        <f>+T63*('WPI time series'!T44/'WPI time series'!U44)</f>
        <v>97.462290412377797</v>
      </c>
      <c r="V63" s="61">
        <f>+U63*('WPI time series'!U44/'WPI time series'!V44)</f>
        <v>96.198083067092625</v>
      </c>
      <c r="W63" s="61">
        <f>+V63*('WPI time series'!V44/'WPI time series'!W44)</f>
        <v>110.86156111929306</v>
      </c>
      <c r="X63" s="61">
        <f>+W63*('WPI time series'!W44/'WPI time series'!X44)</f>
        <v>110.86156111929306</v>
      </c>
    </row>
    <row r="64" spans="1:24">
      <c r="A64" t="str">
        <f>+'WPI time series'!A45</f>
        <v>Indigenous vegetation</v>
      </c>
      <c r="B64">
        <f>+'WPI time series'!B45/'WPI time series'!B45*100</f>
        <v>100</v>
      </c>
      <c r="C64" s="61">
        <f>+B64*('WPI time series'!C45/'WPI time series'!B45)</f>
        <v>100</v>
      </c>
      <c r="D64" s="61">
        <f>+C64*('WPI time series'!D45/'WPI time series'!C45)</f>
        <v>100</v>
      </c>
      <c r="E64" s="61">
        <f>+D64*('WPI time series'!E45/'WPI time series'!D45)</f>
        <v>100</v>
      </c>
      <c r="F64" s="61">
        <f>+E64*('WPI time series'!F45/'WPI time series'!E45)</f>
        <v>100</v>
      </c>
      <c r="G64" s="61">
        <f>+F64*('WPI time series'!G45/'WPI time series'!F45)</f>
        <v>100</v>
      </c>
      <c r="H64" s="61">
        <f>+G64*('WPI time series'!H45/'WPI time series'!G45)</f>
        <v>100</v>
      </c>
      <c r="I64" s="61">
        <f>+H64*('WPI time series'!I45/'WPI time series'!H45)</f>
        <v>100</v>
      </c>
      <c r="J64" s="61">
        <f>+I64*('WPI time series'!J45/'WPI time series'!I45)</f>
        <v>100</v>
      </c>
      <c r="K64" s="61">
        <f>+J64*('WPI time series'!K45/'WPI time series'!J45)</f>
        <v>100</v>
      </c>
      <c r="L64" s="61">
        <f>+K64*('WPI time series'!L45/'WPI time series'!K45)</f>
        <v>100</v>
      </c>
      <c r="M64" s="61">
        <f>+L64*('WPI time series'!M45/'WPI time series'!L45)</f>
        <v>100</v>
      </c>
      <c r="N64" s="61">
        <f>+M64*('WPI time series'!N45/'WPI time series'!M45)</f>
        <v>99.990862853695887</v>
      </c>
      <c r="O64" s="61">
        <f>+N64*('WPI time series'!O45/'WPI time series'!N45)</f>
        <v>99.981725707391774</v>
      </c>
      <c r="P64" s="61">
        <f>+O64*('WPI time series'!P45/'WPI time series'!O45)</f>
        <v>99.972588561087676</v>
      </c>
      <c r="Q64" s="61">
        <f>+P64*('WPI time series'!Q45/'WPI time series'!P45)</f>
        <v>99.963451414783577</v>
      </c>
      <c r="R64" s="61">
        <f>+Q64*('WPI time series'!R45/'WPI time series'!Q45)</f>
        <v>99.954314268479465</v>
      </c>
      <c r="S64" s="61">
        <f>+R64*('WPI time series'!S45/'WPI time series'!R45)</f>
        <v>99.945177122175338</v>
      </c>
      <c r="T64" s="61">
        <f>+S64*('WPI time series'!T45/'WPI time series'!S45)</f>
        <v>99.945177122175338</v>
      </c>
      <c r="U64" s="61">
        <f>+T64*('WPI time series'!U45/'WPI time series'!T45)</f>
        <v>99.945177122175338</v>
      </c>
      <c r="V64" s="61">
        <f>+U64*('WPI time series'!V45/'WPI time series'!U45)</f>
        <v>99.945177122175338</v>
      </c>
      <c r="W64" s="61">
        <f>+V64*('WPI time series'!W45/'WPI time series'!V45)</f>
        <v>99.945177122175338</v>
      </c>
      <c r="X64" s="61">
        <f>+W64*('WPI time series'!X45/'WPI time series'!W45)</f>
        <v>99.945177122175338</v>
      </c>
    </row>
    <row r="65" spans="1:24">
      <c r="A65" t="str">
        <f>+'WPI time series'!A46</f>
        <v>Recycling</v>
      </c>
      <c r="B65">
        <f>+'WPI time series'!B46/'WPI time series'!B46*100</f>
        <v>100</v>
      </c>
      <c r="C65" s="61">
        <f>+B65*('WPI time series'!C46/'WPI time series'!B46)</f>
        <v>100</v>
      </c>
      <c r="D65" s="61">
        <f>+C65*('WPI time series'!D46/'WPI time series'!C46)</f>
        <v>100</v>
      </c>
      <c r="E65" s="61">
        <f>+D65*('WPI time series'!E46/'WPI time series'!D46)</f>
        <v>100</v>
      </c>
      <c r="F65" s="61">
        <f>+E65*('WPI time series'!F46/'WPI time series'!E46)</f>
        <v>100</v>
      </c>
      <c r="G65" s="61">
        <f>+F65*('WPI time series'!G46/'WPI time series'!F46)</f>
        <v>100</v>
      </c>
      <c r="H65" s="61">
        <f>+G65*('WPI time series'!H46/'WPI time series'!G46)</f>
        <v>100</v>
      </c>
      <c r="I65" s="61">
        <f>+H65*('WPI time series'!I46/'WPI time series'!H46)</f>
        <v>100</v>
      </c>
      <c r="J65" s="61">
        <f>+I65*('WPI time series'!J46/'WPI time series'!I46)</f>
        <v>104.00302114803625</v>
      </c>
      <c r="K65" s="61">
        <f>+J65*('WPI time series'!K46/'WPI time series'!J46)</f>
        <v>108.00604229607251</v>
      </c>
      <c r="L65" s="61">
        <f>+K65*('WPI time series'!L46/'WPI time series'!K46)</f>
        <v>107.09969788519638</v>
      </c>
      <c r="M65" s="61">
        <f>+L65*('WPI time series'!M46/'WPI time series'!L46)</f>
        <v>106.19335347432025</v>
      </c>
      <c r="N65" s="61">
        <f>+M65*('WPI time series'!N46/'WPI time series'!M46)</f>
        <v>106.19335347432025</v>
      </c>
      <c r="O65" s="61">
        <f>+N65*('WPI time series'!O46/'WPI time series'!N46)</f>
        <v>106.19335347432025</v>
      </c>
      <c r="P65" s="61">
        <f>+O65*('WPI time series'!P46/'WPI time series'!O46)</f>
        <v>106.19335347432025</v>
      </c>
      <c r="Q65" s="61">
        <f>+P65*('WPI time series'!Q46/'WPI time series'!P46)</f>
        <v>106.19335347432025</v>
      </c>
      <c r="R65" s="61">
        <f>+Q65*('WPI time series'!R46/'WPI time series'!Q46)</f>
        <v>106.19335347432025</v>
      </c>
      <c r="S65" s="61">
        <f>+R65*('WPI time series'!S46/'WPI time series'!R46)</f>
        <v>106.19335347432025</v>
      </c>
      <c r="T65" s="61">
        <f>+S65*('WPI time series'!T46/'WPI time series'!S46)</f>
        <v>106.19335347432025</v>
      </c>
      <c r="U65" s="61">
        <f>+T65*('WPI time series'!U46/'WPI time series'!T46)</f>
        <v>106.19335347432025</v>
      </c>
      <c r="V65" s="61">
        <f>+U65*('WPI time series'!V46/'WPI time series'!U46)</f>
        <v>106.19335347432025</v>
      </c>
      <c r="W65" s="61">
        <f>+V65*('WPI time series'!W46/'WPI time series'!V46)</f>
        <v>106.19335347432025</v>
      </c>
      <c r="X65" s="61">
        <f>+W65*('WPI time series'!X46/'WPI time series'!W46)</f>
        <v>106.19335347432025</v>
      </c>
    </row>
    <row r="66" spans="1:24">
      <c r="A66" t="str">
        <f>+'WPI time series'!A47</f>
        <v>Residential expansion onto highly productive land</v>
      </c>
      <c r="B66">
        <f>+'WPI time series'!B47/'WPI time series'!B47*100</f>
        <v>100</v>
      </c>
      <c r="C66" s="61">
        <f>+B66*('WPI time series'!B47/'WPI time series'!C47)</f>
        <v>100</v>
      </c>
      <c r="D66" s="61">
        <f>+C66*('WPI time series'!C47/'WPI time series'!D47)</f>
        <v>94.869425153811619</v>
      </c>
      <c r="E66" s="61">
        <f>+D66*('WPI time series'!D47/'WPI time series'!E47)</f>
        <v>90.239614206058164</v>
      </c>
      <c r="F66" s="61">
        <f>+E66*('WPI time series'!E47/'WPI time series'!F47)</f>
        <v>86.040663840793158</v>
      </c>
      <c r="G66" s="61">
        <f>+F66*('WPI time series'!F47/'WPI time series'!G47)</f>
        <v>82.215102974828369</v>
      </c>
      <c r="H66" s="61">
        <f>+G66*('WPI time series'!G47/'WPI time series'!H47)</f>
        <v>78.715246587647613</v>
      </c>
      <c r="I66" s="61">
        <f>+H66*('WPI time series'!H47/'WPI time series'!I47)</f>
        <v>75.501197831294903</v>
      </c>
      <c r="J66" s="61">
        <f>+I66*('WPI time series'!I47/'WPI time series'!J47)</f>
        <v>74.19959418224623</v>
      </c>
      <c r="K66" s="61">
        <f>+J66*('WPI time series'!J47/'WPI time series'!K47)</f>
        <v>72.942107987940418</v>
      </c>
      <c r="L66" s="61">
        <f>+K66*('WPI time series'!K47/'WPI time series'!L47)</f>
        <v>71.726533606839638</v>
      </c>
      <c r="M66" s="61">
        <f>+L66*('WPI time series'!L47/'WPI time series'!M47)</f>
        <v>70.550810014727517</v>
      </c>
      <c r="N66" s="61">
        <f>+M66*('WPI time series'!M47/'WPI time series'!N47)</f>
        <v>69.077125906394173</v>
      </c>
      <c r="O66" s="61">
        <f>+N66*('WPI time series'!N47/'WPI time series'!O47)</f>
        <v>67.663747528148804</v>
      </c>
      <c r="P66" s="61">
        <f>+O66*('WPI time series'!O47/'WPI time series'!P47)</f>
        <v>66.307047377995687</v>
      </c>
      <c r="Q66" s="61">
        <f>+P66*('WPI time series'!P47/'WPI time series'!Q47)</f>
        <v>65.003683169852238</v>
      </c>
      <c r="R66" s="61">
        <f>+Q66*('WPI time series'!Q47/'WPI time series'!R47)</f>
        <v>63.750570342205272</v>
      </c>
      <c r="S66" s="61">
        <f>+R66*('WPI time series'!R47/'WPI time series'!S47)</f>
        <v>62.544857686425132</v>
      </c>
      <c r="T66" s="61">
        <f>+S66*('WPI time series'!S47/'WPI time series'!T47)</f>
        <v>61.383905689390026</v>
      </c>
      <c r="U66" s="61">
        <f>+T66*('WPI time series'!T47/'WPI time series'!U47)</f>
        <v>61.383905689390026</v>
      </c>
      <c r="V66" s="61">
        <f>+U66*('WPI time series'!U47/'WPI time series'!V47)</f>
        <v>61.383905689390026</v>
      </c>
      <c r="W66" s="61">
        <f>+V66*('WPI time series'!V47/'WPI time series'!W47)</f>
        <v>61.383905689390026</v>
      </c>
      <c r="X66" s="61">
        <f>+W66*('WPI time series'!W47/'WPI time series'!X47)</f>
        <v>61.383905689390026</v>
      </c>
    </row>
    <row r="67" spans="1:24">
      <c r="A67" t="str">
        <f>+'WPI time series'!A48</f>
        <v>River water quality</v>
      </c>
      <c r="B67">
        <f>+'WPI time series'!B48/'WPI time series'!B48*100</f>
        <v>100</v>
      </c>
      <c r="C67" s="61">
        <f>+B67*('WPI time series'!B48/'WPI time series'!C48)</f>
        <v>100</v>
      </c>
      <c r="D67" s="61">
        <f>+C67*('WPI time series'!C48/'WPI time series'!D48)</f>
        <v>100</v>
      </c>
      <c r="E67" s="61">
        <f>+D67*('WPI time series'!D48/'WPI time series'!E48)</f>
        <v>100</v>
      </c>
      <c r="F67" s="61">
        <f>+E67*('WPI time series'!E48/'WPI time series'!F48)</f>
        <v>100</v>
      </c>
      <c r="G67" s="61">
        <f>+F67*('WPI time series'!F48/'WPI time series'!G48)</f>
        <v>100</v>
      </c>
      <c r="H67" s="61">
        <f>+G67*('WPI time series'!G48/'WPI time series'!H48)</f>
        <v>100</v>
      </c>
      <c r="I67" s="61">
        <f>+H67*('WPI time series'!H48/'WPI time series'!I48)</f>
        <v>100</v>
      </c>
      <c r="J67" s="61">
        <f>+I67*('WPI time series'!I48/'WPI time series'!J48)</f>
        <v>100</v>
      </c>
      <c r="K67" s="61">
        <f>+J67*('WPI time series'!J48/'WPI time series'!K48)</f>
        <v>100</v>
      </c>
      <c r="L67" s="61">
        <f>+K67*('WPI time series'!K48/'WPI time series'!L48)</f>
        <v>100</v>
      </c>
      <c r="M67" s="61">
        <f>+L67*('WPI time series'!L48/'WPI time series'!M48)</f>
        <v>100</v>
      </c>
      <c r="N67" s="61">
        <f>+M67*('WPI time series'!M48/'WPI time series'!N48)</f>
        <v>100</v>
      </c>
      <c r="O67" s="61">
        <f>+N67*('WPI time series'!N48/'WPI time series'!O48)</f>
        <v>103.57142857142856</v>
      </c>
      <c r="P67" s="61">
        <f>+O67*('WPI time series'!O48/'WPI time series'!P48)</f>
        <v>103.94265232974908</v>
      </c>
      <c r="Q67" s="61">
        <f>+P67*('WPI time series'!P48/'WPI time series'!Q48)</f>
        <v>103.57142857142856</v>
      </c>
      <c r="R67" s="61">
        <f>+Q67*('WPI time series'!Q48/'WPI time series'!R48)</f>
        <v>103.57142857142856</v>
      </c>
      <c r="S67" s="61">
        <f>+R67*('WPI time series'!R48/'WPI time series'!S48)</f>
        <v>100</v>
      </c>
      <c r="T67" s="61">
        <f>+S67*('WPI time series'!S48/'WPI time series'!T48)</f>
        <v>100</v>
      </c>
      <c r="U67" s="61">
        <f>+T67*('WPI time series'!T48/'WPI time series'!U48)</f>
        <v>100</v>
      </c>
      <c r="V67" s="61">
        <f>+U67*('WPI time series'!U48/'WPI time series'!V48)</f>
        <v>100</v>
      </c>
      <c r="W67" s="61">
        <f>+V67*('WPI time series'!V48/'WPI time series'!W48)</f>
        <v>100</v>
      </c>
      <c r="X67" s="61">
        <f>+W67*('WPI time series'!W48/'WPI time series'!X48)</f>
        <v>100</v>
      </c>
    </row>
    <row r="68" spans="1:24">
      <c r="A68" t="str">
        <f>+'WPI time series'!A49</f>
        <v>Soil quality</v>
      </c>
      <c r="B68">
        <f>+'WPI time series'!B49/'WPI time series'!B49*100</f>
        <v>100</v>
      </c>
      <c r="C68" s="61">
        <f>+B68*('WPI time series'!C49/'WPI time series'!B49)</f>
        <v>100</v>
      </c>
      <c r="D68" s="61">
        <f>+C68*('WPI time series'!D49/'WPI time series'!C49)</f>
        <v>100</v>
      </c>
      <c r="E68" s="61">
        <f>+D68*('WPI time series'!E49/'WPI time series'!D49)</f>
        <v>100.19781686757622</v>
      </c>
      <c r="F68" s="61">
        <f>+E68*('WPI time series'!F49/'WPI time series'!E49)</f>
        <v>98.648363812422446</v>
      </c>
      <c r="G68" s="61">
        <f>+F68*('WPI time series'!G49/'WPI time series'!F49)</f>
        <v>101.09752200196175</v>
      </c>
      <c r="H68" s="61">
        <f>+G68*('WPI time series'!H49/'WPI time series'!G49)</f>
        <v>98.90789289127072</v>
      </c>
      <c r="I68" s="61">
        <f>+H68*('WPI time series'!I49/'WPI time series'!H49)</f>
        <v>101.48593510326111</v>
      </c>
      <c r="J68" s="61">
        <f>+I68*('WPI time series'!J49/'WPI time series'!I49)</f>
        <v>97.855663207187519</v>
      </c>
      <c r="K68" s="61">
        <f>+J68*('WPI time series'!K49/'WPI time series'!J49)</f>
        <v>94.538253603914427</v>
      </c>
      <c r="L68" s="61">
        <f>+K68*('WPI time series'!L49/'WPI time series'!K49)</f>
        <v>98.053339673583736</v>
      </c>
      <c r="M68" s="61">
        <f>+L68*('WPI time series'!M49/'WPI time series'!L49)</f>
        <v>94.747794342602205</v>
      </c>
      <c r="N68" s="61">
        <f>+M68*('WPI time series'!N49/'WPI time series'!M49)</f>
        <v>91.652096514768687</v>
      </c>
      <c r="O68" s="61">
        <f>+N68*('WPI time series'!O49/'WPI time series'!N49)</f>
        <v>88.514318304996323</v>
      </c>
      <c r="P68" s="61">
        <f>+O68*('WPI time series'!P49/'WPI time series'!O49)</f>
        <v>89.154442627273681</v>
      </c>
      <c r="Q68" s="61">
        <f>+P68*('WPI time series'!Q49/'WPI time series'!P49)</f>
        <v>95.403067508490977</v>
      </c>
      <c r="R68" s="61">
        <f>+Q68*('WPI time series'!R49/'WPI time series'!Q49)</f>
        <v>97.62204944745379</v>
      </c>
      <c r="S68" s="61">
        <f>+R68*('WPI time series'!S49/'WPI time series'!R49)</f>
        <v>94.403876500968636</v>
      </c>
      <c r="T68" s="61">
        <f>+S68*('WPI time series'!T49/'WPI time series'!S49)</f>
        <v>100.56747211756144</v>
      </c>
      <c r="U68" s="61">
        <f>+T68*('WPI time series'!U49/'WPI time series'!T49)</f>
        <v>102.88663068897436</v>
      </c>
      <c r="V68" s="61">
        <f>+U68*('WPI time series'!V49/'WPI time series'!U49)</f>
        <v>106.06741838178554</v>
      </c>
      <c r="W68" s="61">
        <f>+V68*('WPI time series'!W49/'WPI time series'!V49)</f>
        <v>105.67437363844324</v>
      </c>
      <c r="X68" s="61">
        <f>+W68*('WPI time series'!X49/'WPI time series'!W49)</f>
        <v>96.816545053223294</v>
      </c>
    </row>
    <row r="69" spans="1:24">
      <c r="A69" t="str">
        <f>+'WPI time series'!A50</f>
        <v>Waste</v>
      </c>
      <c r="B69">
        <f>+'WPI time series'!B50/'WPI time series'!B50*100</f>
        <v>100</v>
      </c>
      <c r="C69" s="61">
        <f>+B69*('WPI time series'!B50/'WPI time series'!C50)</f>
        <v>100</v>
      </c>
      <c r="D69" s="61">
        <f>+C69*('WPI time series'!C50/'WPI time series'!D50)</f>
        <v>100</v>
      </c>
      <c r="E69" s="61">
        <f>+D69*('WPI time series'!D50/'WPI time series'!E50)</f>
        <v>100</v>
      </c>
      <c r="F69" s="61">
        <f>+E69*('WPI time series'!E50/'WPI time series'!F50)</f>
        <v>100</v>
      </c>
      <c r="G69" s="61">
        <f>+F69*('WPI time series'!F50/'WPI time series'!G50)</f>
        <v>100</v>
      </c>
      <c r="H69" s="61">
        <f>+G69*('WPI time series'!G50/'WPI time series'!H50)</f>
        <v>99.634449284045701</v>
      </c>
      <c r="I69" s="61">
        <f>+H69*('WPI time series'!H50/'WPI time series'!I50)</f>
        <v>99.271561380679614</v>
      </c>
      <c r="J69" s="61">
        <f>+I69*('WPI time series'!I50/'WPI time series'!J50)</f>
        <v>98.911307300055469</v>
      </c>
      <c r="K69" s="61">
        <f>+J69*('WPI time series'!J50/'WPI time series'!K50)</f>
        <v>98.553658471619215</v>
      </c>
      <c r="L69" s="61">
        <f>+K69*('WPI time series'!K50/'WPI time series'!L50)</f>
        <v>98.198586736555754</v>
      </c>
      <c r="M69" s="61">
        <f>+L69*('WPI time series'!L50/'WPI time series'!M50)</f>
        <v>97.846064340398527</v>
      </c>
      <c r="N69" s="61">
        <f>+M69*('WPI time series'!M50/'WPI time series'!N50)</f>
        <v>97.582846518006676</v>
      </c>
      <c r="O69" s="61">
        <f>+N69*('WPI time series'!N50/'WPI time series'!O50)</f>
        <v>97.321041072109622</v>
      </c>
      <c r="P69" s="61">
        <f>+O69*('WPI time series'!O50/'WPI time series'!P50)</f>
        <v>97.060636665311307</v>
      </c>
      <c r="Q69" s="61">
        <f>+P69*('WPI time series'!P50/'WPI time series'!Q50)</f>
        <v>98.784329779470639</v>
      </c>
      <c r="R69" s="61">
        <f>+Q69*('WPI time series'!Q50/'WPI time series'!R50)</f>
        <v>100.57035167911714</v>
      </c>
      <c r="S69" s="61">
        <f>+R69*('WPI time series'!R50/'WPI time series'!S50)</f>
        <v>88.756568452503885</v>
      </c>
      <c r="T69" s="61">
        <f>+S69*('WPI time series'!S50/'WPI time series'!T50)</f>
        <v>79.426507225307688</v>
      </c>
      <c r="U69" s="61">
        <f>+T69*('WPI time series'!T50/'WPI time series'!U50)</f>
        <v>71.871408452984099</v>
      </c>
      <c r="V69" s="61">
        <f>+U69*('WPI time series'!U50/'WPI time series'!V50)</f>
        <v>71.871408452984099</v>
      </c>
      <c r="W69" s="61">
        <f>+V69*('WPI time series'!V50/'WPI time series'!W50)</f>
        <v>71.871408452984099</v>
      </c>
      <c r="X69" s="61">
        <f>+W69*('WPI time series'!W50/'WPI time series'!X50)</f>
        <v>71.871408452984099</v>
      </c>
    </row>
  </sheetData>
  <hyperlinks>
    <hyperlink ref="A1" location="Index!A1" display="Return to Index" xr:uid="{00000000-0004-0000-2700-000000000000}"/>
  </hyperlinks>
  <pageMargins left="0.7" right="0.7" top="0.75" bottom="0.75" header="0.3" footer="0.3"/>
  <pageSetup paperSize="9" orientation="portrait" horizontalDpi="0" verticalDpi="0" r:id="rId1"/>
  <drawing r:id="rId2"/>
  <legacy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46"/>
  <sheetViews>
    <sheetView workbookViewId="0">
      <pane ySplit="14" topLeftCell="A15" activePane="bottomLeft" state="frozenSplit"/>
      <selection pane="bottomLeft"/>
    </sheetView>
  </sheetViews>
  <sheetFormatPr defaultRowHeight="12.75"/>
  <cols>
    <col min="1" max="1" width="24.6640625" customWidth="1"/>
    <col min="2" max="2" width="17.53125" customWidth="1"/>
    <col min="3" max="3" width="10.6640625" customWidth="1"/>
    <col min="4" max="4" width="12.46484375" customWidth="1"/>
    <col min="5" max="5" width="14.46484375" customWidth="1"/>
    <col min="6" max="6" width="20.86328125" customWidth="1"/>
  </cols>
  <sheetData>
    <row r="1" spans="1:7">
      <c r="A1" s="1" t="s">
        <v>106</v>
      </c>
    </row>
    <row r="3" spans="1:7" ht="17.649999999999999">
      <c r="A3" s="83" t="s">
        <v>234</v>
      </c>
    </row>
    <row r="4" spans="1:7" ht="13.15">
      <c r="A4" s="2"/>
    </row>
    <row r="5" spans="1:7" ht="13.15">
      <c r="A5" s="38" t="s">
        <v>235</v>
      </c>
      <c r="B5" s="39"/>
      <c r="C5" s="39"/>
      <c r="D5" s="39"/>
      <c r="E5" s="39"/>
      <c r="F5" s="40"/>
    </row>
    <row r="6" spans="1:7" ht="13.15">
      <c r="A6" s="44" t="s">
        <v>352</v>
      </c>
      <c r="B6" s="45"/>
      <c r="C6" s="45"/>
      <c r="D6" s="45"/>
      <c r="E6" s="45"/>
      <c r="F6" s="46"/>
    </row>
    <row r="8" spans="1:7" ht="13.15">
      <c r="A8" s="2" t="s">
        <v>2</v>
      </c>
    </row>
    <row r="10" spans="1:7">
      <c r="A10" s="1" t="s">
        <v>45</v>
      </c>
    </row>
    <row r="12" spans="1:7" ht="12.75" customHeight="1">
      <c r="A12" s="2" t="s">
        <v>56</v>
      </c>
    </row>
    <row r="13" spans="1:7" ht="12.75" customHeight="1">
      <c r="B13" s="122" t="s">
        <v>366</v>
      </c>
      <c r="C13" s="123" t="s">
        <v>367</v>
      </c>
      <c r="F13" s="122" t="s">
        <v>368</v>
      </c>
    </row>
    <row r="14" spans="1:7" ht="12.75" customHeight="1">
      <c r="A14" s="2" t="s">
        <v>132</v>
      </c>
      <c r="B14" s="112" t="s">
        <v>91</v>
      </c>
      <c r="C14" s="12" t="s">
        <v>116</v>
      </c>
      <c r="D14" s="12" t="s">
        <v>118</v>
      </c>
      <c r="E14" s="12" t="s">
        <v>117</v>
      </c>
      <c r="F14" s="112" t="s">
        <v>143</v>
      </c>
      <c r="G14" s="12"/>
    </row>
    <row r="15" spans="1:7">
      <c r="A15" s="1" t="s">
        <v>409</v>
      </c>
      <c r="B15" s="113">
        <f>+'WPI Score Card'!C16</f>
        <v>4326.9483027171837</v>
      </c>
      <c r="C15" s="19">
        <v>5481.3223365721842</v>
      </c>
      <c r="D15" s="19">
        <v>2749.6577366030883</v>
      </c>
      <c r="E15" s="19">
        <v>3198.1548856255295</v>
      </c>
      <c r="F15" s="113">
        <f>+'WPI Relative Wellbeing Circle'!D13</f>
        <v>4463.63778828665</v>
      </c>
      <c r="G15" s="21" t="s">
        <v>504</v>
      </c>
    </row>
    <row r="16" spans="1:7">
      <c r="A16" s="1" t="s">
        <v>160</v>
      </c>
      <c r="B16" s="114">
        <f>+'WPI Score Card'!C17</f>
        <v>0.66400000000000003</v>
      </c>
      <c r="C16" s="10">
        <v>0.71599999999999997</v>
      </c>
      <c r="D16" s="10">
        <v>0.73599999999999999</v>
      </c>
      <c r="E16" s="10">
        <v>0.65100000000000002</v>
      </c>
      <c r="F16" s="114">
        <f>+'WPI Relative Wellbeing Circle'!D15</f>
        <v>0.69399999999999995</v>
      </c>
      <c r="G16" s="21" t="s">
        <v>530</v>
      </c>
    </row>
    <row r="17" spans="1:7">
      <c r="A17" s="1" t="s">
        <v>38</v>
      </c>
      <c r="B17" s="113">
        <f>+'WPI Score Card'!C18</f>
        <v>2080</v>
      </c>
      <c r="C17" s="19">
        <v>2493</v>
      </c>
      <c r="D17" s="19">
        <v>2711</v>
      </c>
      <c r="E17" s="19">
        <v>2013.9999999999998</v>
      </c>
      <c r="F17" s="113">
        <f>+'WPI Relative Wellbeing Circle'!D17</f>
        <v>2210</v>
      </c>
      <c r="G17" s="19"/>
    </row>
    <row r="18" spans="1:7">
      <c r="A18" s="1" t="s">
        <v>37</v>
      </c>
      <c r="B18" s="113">
        <f>+'WPI Score Card'!C19</f>
        <v>67028</v>
      </c>
      <c r="C18" s="19">
        <v>86734</v>
      </c>
      <c r="D18" s="19">
        <v>86805</v>
      </c>
      <c r="E18" s="19">
        <v>64462</v>
      </c>
      <c r="F18" s="140">
        <f>+'WPI Relative Wellbeing Circle'!D19</f>
        <v>75311</v>
      </c>
    </row>
    <row r="19" spans="1:7">
      <c r="A19" s="1" t="s">
        <v>71</v>
      </c>
      <c r="B19" s="120">
        <f>+'WPI Score Card'!C20</f>
        <v>0.91164434922335302</v>
      </c>
      <c r="C19" s="16" t="s">
        <v>134</v>
      </c>
      <c r="D19" s="16" t="s">
        <v>134</v>
      </c>
      <c r="E19" s="16" t="s">
        <v>134</v>
      </c>
      <c r="F19" s="118" t="s">
        <v>134</v>
      </c>
    </row>
    <row r="20" spans="1:7">
      <c r="A20" s="1" t="s">
        <v>83</v>
      </c>
      <c r="B20" s="119">
        <f>+'WPI Score Card'!C22</f>
        <v>0.31</v>
      </c>
      <c r="C20" s="197" t="s">
        <v>489</v>
      </c>
      <c r="D20" s="197" t="s">
        <v>489</v>
      </c>
      <c r="E20" s="16" t="s">
        <v>134</v>
      </c>
      <c r="F20" s="141">
        <f>+'WPI Relative Wellbeing Circle'!D21</f>
        <v>0.28000000000000003</v>
      </c>
      <c r="G20" s="21" t="s">
        <v>488</v>
      </c>
    </row>
    <row r="21" spans="1:7">
      <c r="A21" s="1" t="s">
        <v>34</v>
      </c>
      <c r="B21" s="119">
        <f>+'WPI Score Card'!C23</f>
        <v>0.64</v>
      </c>
      <c r="C21" s="197" t="s">
        <v>489</v>
      </c>
      <c r="D21" s="197" t="s">
        <v>489</v>
      </c>
      <c r="E21" s="16" t="s">
        <v>134</v>
      </c>
      <c r="F21" s="141">
        <f>+'WPI Relative Wellbeing Circle'!D23</f>
        <v>0.55000000000000004</v>
      </c>
      <c r="G21" s="21" t="s">
        <v>488</v>
      </c>
    </row>
    <row r="22" spans="1:7">
      <c r="A22" s="1" t="s">
        <v>14</v>
      </c>
      <c r="B22" s="115">
        <f>+'WPI Score Card'!C24</f>
        <v>845.8143837200339</v>
      </c>
      <c r="C22" s="103">
        <v>779.38251020525502</v>
      </c>
      <c r="D22" s="103">
        <v>676.85042230496776</v>
      </c>
      <c r="E22" s="103">
        <v>810.29136519820088</v>
      </c>
      <c r="F22" s="143">
        <f>+'WPI Relative Wellbeing Circle'!D25</f>
        <v>727.7689494744501</v>
      </c>
      <c r="G22" s="14" t="s">
        <v>339</v>
      </c>
    </row>
    <row r="23" spans="1:7">
      <c r="A23" s="1" t="s">
        <v>39</v>
      </c>
      <c r="B23" s="119">
        <f>+'WPI Score Card'!C25</f>
        <v>0.39</v>
      </c>
      <c r="C23" s="197" t="s">
        <v>489</v>
      </c>
      <c r="D23" s="197" t="s">
        <v>489</v>
      </c>
      <c r="E23" s="16" t="s">
        <v>134</v>
      </c>
      <c r="F23" s="198" t="s">
        <v>134</v>
      </c>
      <c r="G23" s="21"/>
    </row>
    <row r="24" spans="1:7">
      <c r="A24" s="1" t="s">
        <v>68</v>
      </c>
      <c r="B24" s="114">
        <f>+'WPI Score Card'!C26</f>
        <v>0.72199999999999998</v>
      </c>
      <c r="C24" s="10">
        <v>0.80500000000000005</v>
      </c>
      <c r="D24" s="10">
        <v>0.82399999999999995</v>
      </c>
      <c r="E24" s="10">
        <v>0.73599999999999999</v>
      </c>
      <c r="F24" s="142">
        <f>+'WPI Relative Wellbeing Circle'!D27</f>
        <v>0.75</v>
      </c>
      <c r="G24" s="10" t="s">
        <v>525</v>
      </c>
    </row>
    <row r="25" spans="1:7">
      <c r="A25" s="1" t="s">
        <v>65</v>
      </c>
      <c r="B25" s="114">
        <f>+'WPI Score Card'!C27</f>
        <v>0.223</v>
      </c>
      <c r="C25" s="10">
        <v>0.23499999999999999</v>
      </c>
      <c r="D25" s="10">
        <v>0.218</v>
      </c>
      <c r="E25" s="10">
        <v>0.20300000000000001</v>
      </c>
      <c r="F25" s="142">
        <f>+'WPI Relative Wellbeing Circle'!D29</f>
        <v>0.217</v>
      </c>
      <c r="G25" s="21" t="s">
        <v>527</v>
      </c>
    </row>
    <row r="26" spans="1:7">
      <c r="A26" s="1" t="s">
        <v>159</v>
      </c>
      <c r="B26" s="117">
        <f>+'WPI Score Card'!C28</f>
        <v>0.39102622770000001</v>
      </c>
      <c r="C26" s="22">
        <v>0.4642685842</v>
      </c>
      <c r="D26" s="22">
        <v>0.41421193499999998</v>
      </c>
      <c r="E26" s="22">
        <v>0.3843387237</v>
      </c>
      <c r="F26" s="117">
        <f>+'WPI Relative Wellbeing Circle'!D31</f>
        <v>0.41670700160000002</v>
      </c>
    </row>
    <row r="27" spans="1:7">
      <c r="A27" s="1" t="s">
        <v>69</v>
      </c>
      <c r="B27" s="116">
        <f>+'WPI Score Card'!C29</f>
        <v>81.349999999999994</v>
      </c>
      <c r="C27" s="59">
        <v>82.7</v>
      </c>
      <c r="D27" s="13">
        <v>81.900000000000006</v>
      </c>
      <c r="E27" s="13">
        <v>81.2</v>
      </c>
      <c r="F27" s="144">
        <f>+'WPI Relative Wellbeing Circle'!D33</f>
        <v>81.8</v>
      </c>
    </row>
    <row r="28" spans="1:7">
      <c r="A28" s="1" t="s">
        <v>154</v>
      </c>
      <c r="B28" s="119">
        <f>+'WPI Score Card'!C30</f>
        <v>0.86</v>
      </c>
      <c r="C28" s="197" t="s">
        <v>489</v>
      </c>
      <c r="D28" s="197" t="s">
        <v>489</v>
      </c>
      <c r="E28" s="16" t="s">
        <v>134</v>
      </c>
      <c r="F28" s="141">
        <f>+'WPI Relative Wellbeing Circle'!D35</f>
        <v>0.83</v>
      </c>
      <c r="G28" s="21" t="s">
        <v>488</v>
      </c>
    </row>
    <row r="29" spans="1:7">
      <c r="A29" s="1" t="s">
        <v>67</v>
      </c>
      <c r="B29" s="119">
        <f>+'WPI Score Card'!C31</f>
        <v>0.8</v>
      </c>
      <c r="C29" s="197" t="s">
        <v>489</v>
      </c>
      <c r="D29" s="197" t="s">
        <v>489</v>
      </c>
      <c r="E29" s="16" t="s">
        <v>134</v>
      </c>
      <c r="F29" s="198" t="s">
        <v>134</v>
      </c>
      <c r="G29" s="21"/>
    </row>
    <row r="30" spans="1:7">
      <c r="A30" s="1" t="s">
        <v>111</v>
      </c>
      <c r="B30" s="119">
        <f>+'WPI Score Card'!C32</f>
        <v>0.63</v>
      </c>
      <c r="C30" s="197" t="s">
        <v>489</v>
      </c>
      <c r="D30" s="197" t="s">
        <v>489</v>
      </c>
      <c r="E30" s="16" t="s">
        <v>134</v>
      </c>
      <c r="F30" s="198" t="s">
        <v>134</v>
      </c>
      <c r="G30" s="21"/>
    </row>
    <row r="31" spans="1:7">
      <c r="A31" s="1" t="s">
        <v>35</v>
      </c>
      <c r="B31" s="119">
        <f>+'WPI Score Card'!C33</f>
        <v>0.41</v>
      </c>
      <c r="C31" s="197" t="s">
        <v>489</v>
      </c>
      <c r="D31" s="197" t="s">
        <v>489</v>
      </c>
      <c r="E31" s="16" t="s">
        <v>134</v>
      </c>
      <c r="F31" s="141">
        <f>+'WPI Relative Wellbeing Circle'!D37</f>
        <v>0.35</v>
      </c>
      <c r="G31" s="21" t="s">
        <v>488</v>
      </c>
    </row>
    <row r="32" spans="1:7">
      <c r="A32" s="1" t="s">
        <v>70</v>
      </c>
      <c r="B32" s="116">
        <f>+'WPI Score Card'!C34</f>
        <v>6.4045905089934942</v>
      </c>
      <c r="C32" s="16">
        <v>40.835370551371234</v>
      </c>
      <c r="D32" s="16">
        <v>60.270993642143502</v>
      </c>
      <c r="E32" s="16">
        <v>7.8059870093194013</v>
      </c>
      <c r="F32" s="118">
        <v>24.73400490130382</v>
      </c>
    </row>
    <row r="33" spans="1:7">
      <c r="A33" s="1" t="s">
        <v>140</v>
      </c>
      <c r="B33" s="113">
        <f>+'WPI Score Card'!C35</f>
        <v>5480.7318022576874</v>
      </c>
      <c r="C33" s="19">
        <v>2584.3558282208592</v>
      </c>
      <c r="D33" s="19">
        <v>2213.4314627414906</v>
      </c>
      <c r="E33" s="19">
        <v>4397.4690825424213</v>
      </c>
      <c r="F33" s="140">
        <f>+'WPI Relative Wellbeing Circle'!D39</f>
        <v>3915.2241369216063</v>
      </c>
      <c r="G33" s="9"/>
    </row>
    <row r="34" spans="1:7">
      <c r="A34" s="1" t="s">
        <v>155</v>
      </c>
      <c r="B34" s="119">
        <f>+'WPI Score Card'!C36</f>
        <v>0.56999999999999995</v>
      </c>
      <c r="C34" s="197" t="s">
        <v>489</v>
      </c>
      <c r="D34" s="197" t="s">
        <v>489</v>
      </c>
      <c r="E34" s="16" t="s">
        <v>134</v>
      </c>
      <c r="F34" s="141">
        <f>+'WPI Relative Wellbeing Circle'!D41</f>
        <v>0.49</v>
      </c>
      <c r="G34" s="21" t="s">
        <v>488</v>
      </c>
    </row>
    <row r="35" spans="1:7">
      <c r="A35" s="1" t="s">
        <v>36</v>
      </c>
      <c r="B35" s="114">
        <f>+'WPI Score Card'!C37</f>
        <v>5.9000000000000004E-2</v>
      </c>
      <c r="C35" s="10">
        <v>2.4E-2</v>
      </c>
      <c r="D35" s="10">
        <v>3.5000000000000003E-2</v>
      </c>
      <c r="E35" s="10">
        <v>8.5999999999999993E-2</v>
      </c>
      <c r="F35" s="142">
        <f>+'WPI Relative Wellbeing Circle'!D43</f>
        <v>0.04</v>
      </c>
    </row>
    <row r="36" spans="1:7">
      <c r="A36" s="1" t="s">
        <v>82</v>
      </c>
      <c r="B36" s="114">
        <f>+'WPI Score Card'!C38</f>
        <v>0.3801842428653176</v>
      </c>
      <c r="C36" s="139">
        <v>0.35170597057097525</v>
      </c>
      <c r="D36" s="139">
        <v>0.43770373173378141</v>
      </c>
      <c r="E36" s="139">
        <v>0.40416170331701429</v>
      </c>
      <c r="F36" s="145">
        <f>+'WPI Relative Wellbeing Circle'!D45</f>
        <v>0.42184191484136574</v>
      </c>
      <c r="G36" s="14"/>
    </row>
    <row r="37" spans="1:7">
      <c r="A37" s="1" t="s">
        <v>18</v>
      </c>
      <c r="B37" s="115">
        <f>+'WPI Score Card'!C40</f>
        <v>18</v>
      </c>
      <c r="C37" s="16" t="s">
        <v>134</v>
      </c>
      <c r="D37" s="16" t="s">
        <v>134</v>
      </c>
      <c r="E37" s="16" t="s">
        <v>134</v>
      </c>
      <c r="F37" s="118" t="s">
        <v>134</v>
      </c>
    </row>
    <row r="38" spans="1:7">
      <c r="A38" s="1" t="s">
        <v>360</v>
      </c>
      <c r="B38" s="121">
        <f>+'WPI Score Card'!C41</f>
        <v>0.38586419462613525</v>
      </c>
      <c r="C38" s="16" t="s">
        <v>134</v>
      </c>
      <c r="D38" s="16" t="s">
        <v>134</v>
      </c>
      <c r="E38" s="16" t="s">
        <v>134</v>
      </c>
      <c r="F38" s="118" t="s">
        <v>134</v>
      </c>
    </row>
    <row r="39" spans="1:7">
      <c r="A39" s="1" t="s">
        <v>129</v>
      </c>
      <c r="B39" s="120">
        <f>+'WPI Score Card'!C42</f>
        <v>0.83</v>
      </c>
      <c r="C39" s="16" t="s">
        <v>134</v>
      </c>
      <c r="D39" s="16" t="s">
        <v>134</v>
      </c>
      <c r="E39" s="16" t="s">
        <v>134</v>
      </c>
      <c r="F39" s="118" t="s">
        <v>134</v>
      </c>
    </row>
    <row r="40" spans="1:7">
      <c r="A40" s="1" t="s">
        <v>80</v>
      </c>
      <c r="B40" s="204">
        <f>+'WPI Score Card'!C43</f>
        <v>13.58</v>
      </c>
      <c r="C40" s="16" t="s">
        <v>134</v>
      </c>
      <c r="D40" s="16" t="s">
        <v>134</v>
      </c>
      <c r="E40" s="16" t="s">
        <v>134</v>
      </c>
      <c r="F40" s="118" t="s">
        <v>134</v>
      </c>
      <c r="G40" s="21" t="s">
        <v>484</v>
      </c>
    </row>
    <row r="41" spans="1:7">
      <c r="A41" s="1" t="s">
        <v>278</v>
      </c>
      <c r="B41" s="114">
        <f>+'WPI Score Card'!C44</f>
        <v>0.27076231996670491</v>
      </c>
      <c r="C41" s="16" t="s">
        <v>134</v>
      </c>
      <c r="D41" s="16" t="s">
        <v>134</v>
      </c>
      <c r="E41" s="16" t="s">
        <v>134</v>
      </c>
      <c r="F41" s="118" t="s">
        <v>134</v>
      </c>
    </row>
    <row r="42" spans="1:7">
      <c r="A42" s="1" t="s">
        <v>72</v>
      </c>
      <c r="B42" s="114">
        <f>+'WPI Score Card'!C45</f>
        <v>0.70299999999999996</v>
      </c>
      <c r="C42" s="10">
        <v>0.86099999999999999</v>
      </c>
      <c r="D42" s="10">
        <v>0.79200000000000004</v>
      </c>
      <c r="E42" s="10">
        <v>0.72599999999999998</v>
      </c>
      <c r="F42" s="114">
        <f>+'WPI Relative Wellbeing Circle'!D47</f>
        <v>0.80100000000000005</v>
      </c>
    </row>
    <row r="43" spans="1:7">
      <c r="A43" s="1" t="s">
        <v>354</v>
      </c>
      <c r="B43" s="115">
        <f>+'WPI Score Card'!C46</f>
        <v>19510</v>
      </c>
      <c r="C43" s="16" t="s">
        <v>134</v>
      </c>
      <c r="D43" s="16" t="s">
        <v>134</v>
      </c>
      <c r="E43" s="16" t="s">
        <v>134</v>
      </c>
      <c r="F43" s="118" t="s">
        <v>134</v>
      </c>
    </row>
    <row r="44" spans="1:7">
      <c r="A44" s="1" t="s">
        <v>41</v>
      </c>
      <c r="B44" s="120">
        <f>+'WPI Score Card'!C47</f>
        <v>0.28999999999999998</v>
      </c>
      <c r="C44" s="16" t="s">
        <v>134</v>
      </c>
      <c r="D44" s="16" t="s">
        <v>134</v>
      </c>
      <c r="E44" s="16" t="s">
        <v>134</v>
      </c>
      <c r="F44" s="118" t="s">
        <v>134</v>
      </c>
    </row>
    <row r="45" spans="1:7">
      <c r="A45" s="1" t="s">
        <v>162</v>
      </c>
      <c r="B45" s="120">
        <f>+'WPI Score Card'!C48</f>
        <v>0.84288383628102481</v>
      </c>
      <c r="C45" s="16" t="s">
        <v>134</v>
      </c>
      <c r="D45" s="16" t="s">
        <v>134</v>
      </c>
      <c r="E45" s="16" t="s">
        <v>134</v>
      </c>
      <c r="F45" s="118" t="s">
        <v>134</v>
      </c>
    </row>
    <row r="46" spans="1:7">
      <c r="A46" s="1" t="s">
        <v>166</v>
      </c>
      <c r="B46" s="115">
        <f>+'WPI Score Card'!C49</f>
        <v>308885</v>
      </c>
      <c r="C46" s="16" t="s">
        <v>134</v>
      </c>
      <c r="D46" s="16" t="s">
        <v>134</v>
      </c>
      <c r="E46" s="9">
        <v>143523</v>
      </c>
      <c r="F46" s="118" t="s">
        <v>134</v>
      </c>
    </row>
  </sheetData>
  <phoneticPr fontId="2" type="noConversion"/>
  <hyperlinks>
    <hyperlink ref="A1" location="Index!A1" display="Return to Index" xr:uid="{00000000-0004-0000-2800-000000000000}"/>
    <hyperlink ref="A10" location="'WPI time series'!A1" display="WPI time series" xr:uid="{00000000-0004-0000-2800-000001000000}"/>
    <hyperlink ref="A24" location="'Educational attainment'!A1" display="Educational attainment of the adult population" xr:uid="{00000000-0004-0000-2800-000002000000}"/>
    <hyperlink ref="A30" location="'Perceptions of safety'!A1" display="Perceptions of safety" xr:uid="{00000000-0004-0000-2800-000003000000}"/>
    <hyperlink ref="A22" location="Crime!A1" display="Crime" xr:uid="{00000000-0004-0000-2800-000004000000}"/>
    <hyperlink ref="A27" location="'Life expectancy'!A1" display="Life expectancy at birth" xr:uid="{00000000-0004-0000-2800-000005000000}"/>
    <hyperlink ref="A29" location="'Perceived health'!A1" display="Perceived health" xr:uid="{00000000-0004-0000-2800-000006000000}"/>
    <hyperlink ref="A28" location="'Life satisfaction'!A1" display="Life satisfaction" xr:uid="{00000000-0004-0000-2800-000007000000}"/>
    <hyperlink ref="A34" location="'Social connectedness'!A1" display="Social connectedness" xr:uid="{00000000-0004-0000-2800-000008000000}"/>
    <hyperlink ref="A21" location="'Community pride'!A1" display="Community pride" xr:uid="{00000000-0004-0000-2800-000009000000}"/>
    <hyperlink ref="A31" location="'Physical activity'!A1" display="Physical activity" xr:uid="{00000000-0004-0000-2800-00000A000000}"/>
    <hyperlink ref="A23" location="'Cultural respect'!A1" display="Cultural respect" xr:uid="{00000000-0004-0000-2800-00000B000000}"/>
    <hyperlink ref="A35" location="'Te Reo Māori speakers'!A1" display="Te Reo Māori speakers" xr:uid="{00000000-0004-0000-2800-00000C000000}"/>
    <hyperlink ref="A18" location="'Regional GDP'!A1" display="Regional GDP" xr:uid="{00000000-0004-0000-2800-00000D000000}"/>
    <hyperlink ref="A17" location="Income!A1" display="Income" xr:uid="{00000000-0004-0000-2800-00000E000000}"/>
    <hyperlink ref="A26" location="'Income inequality'!A1" display="Income inequality" xr:uid="{00000000-0004-0000-2800-00000F000000}"/>
    <hyperlink ref="A15" location="'Building activity'!A1" display="Building activity" xr:uid="{00000000-0004-0000-2800-000010000000}"/>
    <hyperlink ref="A32" location="'Public transport use'!A1" display="Public transport" xr:uid="{00000000-0004-0000-2800-000011000000}"/>
    <hyperlink ref="A19" location="'Water use'!A1" display="Water use" xr:uid="{00000000-0004-0000-2800-000012000000}"/>
    <hyperlink ref="A39" location="'Environmental attitudes'!A1" display="Environmental attitudes" xr:uid="{00000000-0004-0000-2800-000013000000}"/>
    <hyperlink ref="A44" location="'River water quality'!A1" display="River water quality for ecological health" xr:uid="{00000000-0004-0000-2800-000014000000}"/>
    <hyperlink ref="A45" location="'Soil quality'!A1" display="Soil quality" xr:uid="{00000000-0004-0000-2800-000015000000}"/>
    <hyperlink ref="A43" location="'Rural subdivision'!A1" display="Rural subdivision" xr:uid="{00000000-0004-0000-2800-000016000000}"/>
    <hyperlink ref="A37" location="'Air quality'!A1" display="Air quality" xr:uid="{00000000-0004-0000-2800-000017000000}"/>
    <hyperlink ref="A40" location="'Greenhouse gases'!A1" display="Greenhouse gases" xr:uid="{00000000-0004-0000-2800-000018000000}"/>
    <hyperlink ref="A41" location="'Protected land'!A1" display="Protected land" xr:uid="{00000000-0004-0000-2800-000019000000}"/>
    <hyperlink ref="A38" location="'Coastal habitats'!A1" display="Coastal habitats" xr:uid="{00000000-0004-0000-2800-00001A000000}"/>
    <hyperlink ref="A46" location="Waste!A1" display="Waste" xr:uid="{00000000-0004-0000-2800-00001B000000}"/>
    <hyperlink ref="A42" location="Recycling!A1" display="Recycling" xr:uid="{00000000-0004-0000-2800-00001C000000}"/>
    <hyperlink ref="A36" location="'Voter turnout'!A1" display="Voter turnout in local elections" xr:uid="{00000000-0004-0000-2800-00001D000000}"/>
    <hyperlink ref="A20" location="'Community engagement'!A1" display="Community engagement" xr:uid="{00000000-0004-0000-2800-00001E000000}"/>
    <hyperlink ref="A25" location="'Housing affordability'!A1" display="Housing affordability" xr:uid="{00000000-0004-0000-2800-00001F000000}"/>
    <hyperlink ref="A16" location="Employment!A1" display="Employment" xr:uid="{00000000-0004-0000-2800-000020000000}"/>
    <hyperlink ref="A33" location="'Road safety'!A1" display="Road safety" xr:uid="{00000000-0004-0000-2800-000021000000}"/>
  </hyperlinks>
  <pageMargins left="0.75" right="0.75" top="1" bottom="1" header="0.5" footer="0.5"/>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37"/>
  <sheetViews>
    <sheetView workbookViewId="0"/>
  </sheetViews>
  <sheetFormatPr defaultRowHeight="12.75"/>
  <cols>
    <col min="1" max="1" width="53.33203125" customWidth="1"/>
    <col min="2" max="2" width="48.33203125" customWidth="1"/>
    <col min="3" max="3" width="22.46484375" customWidth="1"/>
  </cols>
  <sheetData>
    <row r="1" spans="1:3">
      <c r="A1" s="1" t="s">
        <v>106</v>
      </c>
    </row>
    <row r="3" spans="1:3" ht="22.15">
      <c r="A3" s="34" t="s">
        <v>274</v>
      </c>
    </row>
    <row r="4" spans="1:3">
      <c r="A4" s="14" t="s">
        <v>375</v>
      </c>
    </row>
    <row r="6" spans="1:3" ht="13.15">
      <c r="C6" s="2" t="s">
        <v>236</v>
      </c>
    </row>
    <row r="8" spans="1:3" ht="13.15">
      <c r="A8" s="2" t="s">
        <v>168</v>
      </c>
      <c r="B8" s="2" t="s">
        <v>30</v>
      </c>
      <c r="C8" s="2" t="s">
        <v>132</v>
      </c>
    </row>
    <row r="9" spans="1:3">
      <c r="A9" t="s">
        <v>32</v>
      </c>
      <c r="B9" t="s">
        <v>158</v>
      </c>
      <c r="C9" t="s">
        <v>244</v>
      </c>
    </row>
    <row r="10" spans="1:3">
      <c r="A10" t="s">
        <v>32</v>
      </c>
      <c r="B10" t="s">
        <v>37</v>
      </c>
      <c r="C10" s="21" t="s">
        <v>410</v>
      </c>
    </row>
    <row r="11" spans="1:3">
      <c r="A11" t="s">
        <v>31</v>
      </c>
      <c r="B11" t="s">
        <v>167</v>
      </c>
      <c r="C11" t="s">
        <v>243</v>
      </c>
    </row>
    <row r="12" spans="1:3">
      <c r="A12" t="s">
        <v>31</v>
      </c>
      <c r="B12" t="s">
        <v>155</v>
      </c>
      <c r="C12" t="s">
        <v>238</v>
      </c>
    </row>
    <row r="13" spans="1:3">
      <c r="A13" t="s">
        <v>31</v>
      </c>
      <c r="B13" t="s">
        <v>169</v>
      </c>
      <c r="C13" s="21" t="s">
        <v>386</v>
      </c>
    </row>
    <row r="14" spans="1:3">
      <c r="A14" t="s">
        <v>31</v>
      </c>
      <c r="B14" t="s">
        <v>157</v>
      </c>
      <c r="C14" t="s">
        <v>240</v>
      </c>
    </row>
    <row r="15" spans="1:3">
      <c r="A15" t="s">
        <v>31</v>
      </c>
      <c r="B15" t="s">
        <v>151</v>
      </c>
      <c r="C15" t="s">
        <v>237</v>
      </c>
    </row>
    <row r="16" spans="1:3">
      <c r="A16" t="s">
        <v>31</v>
      </c>
      <c r="B16" t="s">
        <v>69</v>
      </c>
      <c r="C16" t="s">
        <v>257</v>
      </c>
    </row>
    <row r="17" spans="1:6">
      <c r="A17" t="s">
        <v>31</v>
      </c>
      <c r="B17" t="s">
        <v>154</v>
      </c>
      <c r="C17" s="14" t="s">
        <v>329</v>
      </c>
    </row>
    <row r="18" spans="1:6">
      <c r="A18" t="s">
        <v>31</v>
      </c>
      <c r="B18" s="14" t="s">
        <v>67</v>
      </c>
      <c r="C18" s="14" t="s">
        <v>312</v>
      </c>
    </row>
    <row r="19" spans="1:6">
      <c r="A19" t="s">
        <v>31</v>
      </c>
      <c r="B19" t="s">
        <v>169</v>
      </c>
      <c r="C19" t="s">
        <v>321</v>
      </c>
    </row>
    <row r="20" spans="1:6">
      <c r="A20" t="s">
        <v>31</v>
      </c>
      <c r="B20" t="s">
        <v>156</v>
      </c>
      <c r="C20" t="s">
        <v>239</v>
      </c>
    </row>
    <row r="21" spans="1:6">
      <c r="A21" t="s">
        <v>31</v>
      </c>
      <c r="B21" t="s">
        <v>155</v>
      </c>
      <c r="C21" s="14" t="s">
        <v>326</v>
      </c>
    </row>
    <row r="22" spans="1:6">
      <c r="A22" t="s">
        <v>31</v>
      </c>
      <c r="B22" t="s">
        <v>157</v>
      </c>
      <c r="C22" t="s">
        <v>241</v>
      </c>
    </row>
    <row r="23" spans="1:6">
      <c r="A23" t="s">
        <v>31</v>
      </c>
      <c r="B23" t="s">
        <v>167</v>
      </c>
      <c r="C23" t="s">
        <v>242</v>
      </c>
      <c r="F23" s="1"/>
    </row>
    <row r="24" spans="1:6">
      <c r="A24" t="s">
        <v>33</v>
      </c>
      <c r="B24" t="s">
        <v>163</v>
      </c>
      <c r="C24" t="s">
        <v>245</v>
      </c>
    </row>
    <row r="25" spans="1:6">
      <c r="A25" t="s">
        <v>33</v>
      </c>
      <c r="B25" s="21" t="s">
        <v>80</v>
      </c>
      <c r="C25" s="21" t="s">
        <v>407</v>
      </c>
    </row>
    <row r="26" spans="1:6">
      <c r="A26" t="s">
        <v>33</v>
      </c>
      <c r="B26" s="14" t="s">
        <v>278</v>
      </c>
      <c r="C26" t="s">
        <v>284</v>
      </c>
    </row>
    <row r="27" spans="1:6">
      <c r="A27" t="s">
        <v>33</v>
      </c>
      <c r="B27" s="14" t="s">
        <v>85</v>
      </c>
      <c r="C27" s="14" t="s">
        <v>357</v>
      </c>
    </row>
    <row r="29" spans="1:6" ht="13.15">
      <c r="A29" s="2"/>
      <c r="B29" s="2"/>
      <c r="C29" s="2" t="s">
        <v>246</v>
      </c>
    </row>
    <row r="30" spans="1:6" ht="13.15">
      <c r="A30" s="2"/>
      <c r="B30" s="2"/>
      <c r="C30" s="2"/>
    </row>
    <row r="31" spans="1:6" ht="13.15">
      <c r="A31" s="2" t="s">
        <v>168</v>
      </c>
      <c r="B31" s="2" t="s">
        <v>30</v>
      </c>
      <c r="C31" s="2" t="s">
        <v>132</v>
      </c>
    </row>
    <row r="32" spans="1:6">
      <c r="A32" t="s">
        <v>32</v>
      </c>
      <c r="B32" t="s">
        <v>40</v>
      </c>
      <c r="C32" t="s">
        <v>380</v>
      </c>
    </row>
    <row r="33" spans="1:8">
      <c r="A33" t="s">
        <v>32</v>
      </c>
      <c r="B33" t="s">
        <v>40</v>
      </c>
      <c r="C33" t="s">
        <v>265</v>
      </c>
    </row>
    <row r="34" spans="1:8">
      <c r="A34" t="s">
        <v>32</v>
      </c>
      <c r="B34" t="s">
        <v>40</v>
      </c>
      <c r="C34" t="s">
        <v>266</v>
      </c>
    </row>
    <row r="35" spans="1:8">
      <c r="A35" t="s">
        <v>32</v>
      </c>
      <c r="B35" t="s">
        <v>40</v>
      </c>
      <c r="C35" t="s">
        <v>381</v>
      </c>
    </row>
    <row r="36" spans="1:8">
      <c r="A36" t="s">
        <v>32</v>
      </c>
      <c r="B36" t="s">
        <v>40</v>
      </c>
      <c r="C36" t="s">
        <v>382</v>
      </c>
    </row>
    <row r="37" spans="1:8">
      <c r="A37" t="s">
        <v>32</v>
      </c>
      <c r="B37" t="s">
        <v>40</v>
      </c>
      <c r="C37" t="s">
        <v>383</v>
      </c>
    </row>
    <row r="38" spans="1:8">
      <c r="A38" t="s">
        <v>32</v>
      </c>
      <c r="B38" t="s">
        <v>160</v>
      </c>
      <c r="C38" s="21" t="s">
        <v>507</v>
      </c>
    </row>
    <row r="39" spans="1:8">
      <c r="A39" t="s">
        <v>32</v>
      </c>
      <c r="B39" t="s">
        <v>160</v>
      </c>
      <c r="C39" t="s">
        <v>533</v>
      </c>
    </row>
    <row r="40" spans="1:8">
      <c r="A40" t="s">
        <v>32</v>
      </c>
      <c r="B40" t="s">
        <v>160</v>
      </c>
      <c r="C40" t="s">
        <v>531</v>
      </c>
    </row>
    <row r="41" spans="1:8">
      <c r="A41" t="s">
        <v>32</v>
      </c>
      <c r="B41" t="s">
        <v>160</v>
      </c>
      <c r="C41" t="s">
        <v>532</v>
      </c>
    </row>
    <row r="42" spans="1:8">
      <c r="A42" t="s">
        <v>32</v>
      </c>
      <c r="B42" t="s">
        <v>160</v>
      </c>
      <c r="C42" t="s">
        <v>66</v>
      </c>
    </row>
    <row r="43" spans="1:8">
      <c r="A43" t="s">
        <v>32</v>
      </c>
      <c r="B43" t="s">
        <v>160</v>
      </c>
      <c r="C43" t="s">
        <v>267</v>
      </c>
    </row>
    <row r="44" spans="1:8">
      <c r="A44" t="s">
        <v>32</v>
      </c>
      <c r="B44" t="s">
        <v>160</v>
      </c>
      <c r="C44" t="s">
        <v>53</v>
      </c>
    </row>
    <row r="45" spans="1:8">
      <c r="A45" t="s">
        <v>32</v>
      </c>
      <c r="B45" t="s">
        <v>38</v>
      </c>
      <c r="C45" t="s">
        <v>263</v>
      </c>
    </row>
    <row r="46" spans="1:8">
      <c r="A46" t="s">
        <v>32</v>
      </c>
      <c r="B46" t="s">
        <v>37</v>
      </c>
      <c r="C46" t="s">
        <v>3</v>
      </c>
    </row>
    <row r="47" spans="1:8" ht="13.15">
      <c r="A47" t="s">
        <v>32</v>
      </c>
      <c r="B47" t="s">
        <v>37</v>
      </c>
      <c r="C47" t="s">
        <v>5</v>
      </c>
      <c r="H47" s="2"/>
    </row>
    <row r="48" spans="1:8" ht="13.15">
      <c r="A48" t="s">
        <v>32</v>
      </c>
      <c r="B48" t="s">
        <v>37</v>
      </c>
      <c r="C48" t="s">
        <v>247</v>
      </c>
      <c r="H48" s="2"/>
    </row>
    <row r="49" spans="1:8" ht="13.15">
      <c r="A49" t="s">
        <v>32</v>
      </c>
      <c r="B49" t="s">
        <v>37</v>
      </c>
      <c r="C49" t="s">
        <v>248</v>
      </c>
      <c r="H49" s="2"/>
    </row>
    <row r="50" spans="1:8" ht="13.15">
      <c r="A50" t="s">
        <v>32</v>
      </c>
      <c r="B50" t="s">
        <v>37</v>
      </c>
      <c r="C50" t="s">
        <v>249</v>
      </c>
      <c r="H50" s="2"/>
    </row>
    <row r="51" spans="1:8">
      <c r="A51" t="s">
        <v>32</v>
      </c>
      <c r="B51" t="s">
        <v>71</v>
      </c>
      <c r="C51" t="s">
        <v>15</v>
      </c>
    </row>
    <row r="52" spans="1:8">
      <c r="A52" t="s">
        <v>31</v>
      </c>
      <c r="B52" t="s">
        <v>83</v>
      </c>
      <c r="C52" s="14" t="s">
        <v>318</v>
      </c>
    </row>
    <row r="53" spans="1:8">
      <c r="A53" t="s">
        <v>31</v>
      </c>
      <c r="B53" t="s">
        <v>34</v>
      </c>
      <c r="C53" s="14" t="s">
        <v>305</v>
      </c>
    </row>
    <row r="54" spans="1:8">
      <c r="A54" t="s">
        <v>31</v>
      </c>
      <c r="B54" t="s">
        <v>14</v>
      </c>
      <c r="C54" t="s">
        <v>302</v>
      </c>
    </row>
    <row r="55" spans="1:8">
      <c r="A55" t="s">
        <v>31</v>
      </c>
      <c r="B55" t="s">
        <v>14</v>
      </c>
      <c r="C55" t="s">
        <v>406</v>
      </c>
    </row>
    <row r="56" spans="1:8">
      <c r="A56" t="s">
        <v>31</v>
      </c>
      <c r="B56" t="s">
        <v>14</v>
      </c>
      <c r="C56" s="14" t="s">
        <v>341</v>
      </c>
    </row>
    <row r="57" spans="1:8">
      <c r="A57" t="s">
        <v>31</v>
      </c>
      <c r="B57" t="s">
        <v>14</v>
      </c>
      <c r="C57" t="s">
        <v>48</v>
      </c>
    </row>
    <row r="58" spans="1:8">
      <c r="A58" t="s">
        <v>31</v>
      </c>
      <c r="B58" t="s">
        <v>39</v>
      </c>
      <c r="C58" s="14" t="s">
        <v>309</v>
      </c>
    </row>
    <row r="59" spans="1:8">
      <c r="A59" t="s">
        <v>31</v>
      </c>
      <c r="B59" t="s">
        <v>39</v>
      </c>
      <c r="C59" t="s">
        <v>24</v>
      </c>
    </row>
    <row r="60" spans="1:8">
      <c r="A60" t="s">
        <v>31</v>
      </c>
      <c r="B60" t="s">
        <v>39</v>
      </c>
      <c r="C60" t="s">
        <v>258</v>
      </c>
    </row>
    <row r="61" spans="1:8">
      <c r="A61" s="84" t="s">
        <v>31</v>
      </c>
      <c r="B61" s="84" t="s">
        <v>68</v>
      </c>
      <c r="C61" t="s">
        <v>304</v>
      </c>
    </row>
    <row r="62" spans="1:8">
      <c r="A62" s="84" t="s">
        <v>31</v>
      </c>
      <c r="B62" s="84" t="s">
        <v>68</v>
      </c>
      <c r="C62" t="s">
        <v>303</v>
      </c>
    </row>
    <row r="63" spans="1:8">
      <c r="A63" s="84" t="s">
        <v>31</v>
      </c>
      <c r="B63" s="84" t="s">
        <v>68</v>
      </c>
      <c r="C63" t="s">
        <v>277</v>
      </c>
      <c r="D63" s="97"/>
      <c r="E63" s="84"/>
    </row>
    <row r="64" spans="1:8">
      <c r="A64" t="s">
        <v>31</v>
      </c>
      <c r="B64" t="s">
        <v>68</v>
      </c>
      <c r="C64" t="s">
        <v>17</v>
      </c>
    </row>
    <row r="65" spans="1:8">
      <c r="A65" t="s">
        <v>31</v>
      </c>
      <c r="B65" t="s">
        <v>68</v>
      </c>
      <c r="C65" t="s">
        <v>252</v>
      </c>
    </row>
    <row r="66" spans="1:8">
      <c r="A66" t="s">
        <v>31</v>
      </c>
      <c r="B66" t="s">
        <v>68</v>
      </c>
      <c r="C66" t="s">
        <v>253</v>
      </c>
    </row>
    <row r="67" spans="1:8">
      <c r="A67" t="s">
        <v>31</v>
      </c>
      <c r="B67" t="s">
        <v>68</v>
      </c>
      <c r="C67" t="s">
        <v>87</v>
      </c>
    </row>
    <row r="68" spans="1:8">
      <c r="A68" t="s">
        <v>31</v>
      </c>
      <c r="B68" t="s">
        <v>68</v>
      </c>
      <c r="C68" t="s">
        <v>254</v>
      </c>
    </row>
    <row r="69" spans="1:8">
      <c r="A69" t="s">
        <v>31</v>
      </c>
      <c r="B69" t="s">
        <v>68</v>
      </c>
      <c r="C69" t="s">
        <v>88</v>
      </c>
    </row>
    <row r="70" spans="1:8">
      <c r="A70" t="s">
        <v>31</v>
      </c>
      <c r="B70" t="s">
        <v>65</v>
      </c>
      <c r="C70" t="s">
        <v>10</v>
      </c>
    </row>
    <row r="71" spans="1:8">
      <c r="A71" t="s">
        <v>31</v>
      </c>
      <c r="B71" t="s">
        <v>65</v>
      </c>
      <c r="C71" t="s">
        <v>47</v>
      </c>
    </row>
    <row r="72" spans="1:8">
      <c r="A72" t="s">
        <v>31</v>
      </c>
      <c r="B72" t="s">
        <v>159</v>
      </c>
      <c r="C72" t="s">
        <v>96</v>
      </c>
    </row>
    <row r="73" spans="1:8">
      <c r="A73" t="s">
        <v>31</v>
      </c>
      <c r="B73" t="s">
        <v>159</v>
      </c>
      <c r="C73" t="s">
        <v>264</v>
      </c>
    </row>
    <row r="74" spans="1:8">
      <c r="A74" t="s">
        <v>31</v>
      </c>
      <c r="B74" t="s">
        <v>69</v>
      </c>
      <c r="C74" t="s">
        <v>6</v>
      </c>
    </row>
    <row r="75" spans="1:8">
      <c r="A75" t="s">
        <v>31</v>
      </c>
      <c r="B75" t="s">
        <v>69</v>
      </c>
      <c r="C75" t="s">
        <v>4</v>
      </c>
    </row>
    <row r="76" spans="1:8">
      <c r="A76" t="s">
        <v>31</v>
      </c>
      <c r="B76" t="s">
        <v>69</v>
      </c>
      <c r="C76" t="s">
        <v>49</v>
      </c>
    </row>
    <row r="77" spans="1:8" ht="13.15">
      <c r="A77" t="s">
        <v>31</v>
      </c>
      <c r="B77" t="s">
        <v>154</v>
      </c>
      <c r="C77" s="14" t="s">
        <v>330</v>
      </c>
      <c r="H77" s="2"/>
    </row>
    <row r="78" spans="1:8">
      <c r="A78" t="s">
        <v>31</v>
      </c>
      <c r="B78" t="s">
        <v>154</v>
      </c>
      <c r="C78" t="s">
        <v>89</v>
      </c>
      <c r="F78" s="1"/>
    </row>
    <row r="79" spans="1:8">
      <c r="A79" t="s">
        <v>31</v>
      </c>
      <c r="B79" t="s">
        <v>154</v>
      </c>
      <c r="C79" t="s">
        <v>250</v>
      </c>
    </row>
    <row r="80" spans="1:8">
      <c r="A80" t="s">
        <v>31</v>
      </c>
      <c r="B80" t="s">
        <v>154</v>
      </c>
      <c r="C80" t="s">
        <v>90</v>
      </c>
    </row>
    <row r="81" spans="1:3">
      <c r="A81" t="s">
        <v>31</v>
      </c>
      <c r="B81" t="s">
        <v>154</v>
      </c>
      <c r="C81" t="s">
        <v>251</v>
      </c>
    </row>
    <row r="82" spans="1:3">
      <c r="A82" t="s">
        <v>31</v>
      </c>
      <c r="B82" t="s">
        <v>154</v>
      </c>
      <c r="C82" t="s">
        <v>46</v>
      </c>
    </row>
    <row r="83" spans="1:3">
      <c r="A83" t="s">
        <v>31</v>
      </c>
      <c r="B83" t="s">
        <v>67</v>
      </c>
      <c r="C83" s="14" t="s">
        <v>314</v>
      </c>
    </row>
    <row r="84" spans="1:3">
      <c r="A84" t="s">
        <v>31</v>
      </c>
      <c r="B84" t="s">
        <v>67</v>
      </c>
      <c r="C84" t="s">
        <v>50</v>
      </c>
    </row>
    <row r="85" spans="1:3">
      <c r="A85" t="s">
        <v>31</v>
      </c>
      <c r="B85" t="s">
        <v>111</v>
      </c>
      <c r="C85" t="s">
        <v>350</v>
      </c>
    </row>
    <row r="86" spans="1:3">
      <c r="A86" t="s">
        <v>31</v>
      </c>
      <c r="B86" t="s">
        <v>111</v>
      </c>
      <c r="C86" t="s">
        <v>322</v>
      </c>
    </row>
    <row r="87" spans="1:3">
      <c r="A87" t="s">
        <v>31</v>
      </c>
      <c r="B87" t="s">
        <v>111</v>
      </c>
      <c r="C87" s="14" t="s">
        <v>323</v>
      </c>
    </row>
    <row r="88" spans="1:3">
      <c r="A88" t="s">
        <v>31</v>
      </c>
      <c r="B88" t="s">
        <v>111</v>
      </c>
      <c r="C88" t="s">
        <v>63</v>
      </c>
    </row>
    <row r="89" spans="1:3">
      <c r="A89" s="14" t="s">
        <v>31</v>
      </c>
      <c r="B89" t="s">
        <v>111</v>
      </c>
      <c r="C89" t="s">
        <v>255</v>
      </c>
    </row>
    <row r="90" spans="1:3">
      <c r="A90" t="s">
        <v>31</v>
      </c>
      <c r="B90" t="s">
        <v>111</v>
      </c>
      <c r="C90" t="s">
        <v>16</v>
      </c>
    </row>
    <row r="91" spans="1:3">
      <c r="A91" t="s">
        <v>31</v>
      </c>
      <c r="B91" t="s">
        <v>111</v>
      </c>
      <c r="C91" t="s">
        <v>256</v>
      </c>
    </row>
    <row r="92" spans="1:3">
      <c r="A92" t="s">
        <v>31</v>
      </c>
      <c r="B92" t="s">
        <v>35</v>
      </c>
      <c r="C92" s="14" t="s">
        <v>315</v>
      </c>
    </row>
    <row r="93" spans="1:3">
      <c r="A93" t="s">
        <v>31</v>
      </c>
      <c r="B93" t="s">
        <v>35</v>
      </c>
      <c r="C93" s="14" t="s">
        <v>335</v>
      </c>
    </row>
    <row r="94" spans="1:3">
      <c r="A94" t="s">
        <v>31</v>
      </c>
      <c r="B94" t="s">
        <v>35</v>
      </c>
      <c r="C94" s="14" t="s">
        <v>336</v>
      </c>
    </row>
    <row r="95" spans="1:3">
      <c r="A95" t="s">
        <v>31</v>
      </c>
      <c r="B95" t="s">
        <v>35</v>
      </c>
      <c r="C95" t="s">
        <v>52</v>
      </c>
    </row>
    <row r="96" spans="1:3">
      <c r="A96" t="s">
        <v>31</v>
      </c>
      <c r="B96" t="s">
        <v>70</v>
      </c>
      <c r="C96" t="s">
        <v>15</v>
      </c>
    </row>
    <row r="97" spans="1:3">
      <c r="A97" t="s">
        <v>31</v>
      </c>
      <c r="B97" t="s">
        <v>140</v>
      </c>
      <c r="C97" s="21" t="s">
        <v>411</v>
      </c>
    </row>
    <row r="98" spans="1:3">
      <c r="A98" t="s">
        <v>31</v>
      </c>
      <c r="B98" t="s">
        <v>140</v>
      </c>
      <c r="C98" s="21" t="s">
        <v>412</v>
      </c>
    </row>
    <row r="99" spans="1:3">
      <c r="A99" t="s">
        <v>31</v>
      </c>
      <c r="B99" t="s">
        <v>140</v>
      </c>
      <c r="C99" s="21" t="s">
        <v>413</v>
      </c>
    </row>
    <row r="100" spans="1:3">
      <c r="A100" t="s">
        <v>31</v>
      </c>
      <c r="B100" t="s">
        <v>155</v>
      </c>
      <c r="C100" t="s">
        <v>327</v>
      </c>
    </row>
    <row r="101" spans="1:3">
      <c r="A101" t="s">
        <v>31</v>
      </c>
      <c r="B101" t="s">
        <v>155</v>
      </c>
      <c r="C101" t="s">
        <v>23</v>
      </c>
    </row>
    <row r="102" spans="1:3">
      <c r="A102" t="s">
        <v>31</v>
      </c>
      <c r="B102" t="s">
        <v>155</v>
      </c>
      <c r="C102" t="s">
        <v>51</v>
      </c>
    </row>
    <row r="103" spans="1:3">
      <c r="A103" t="s">
        <v>31</v>
      </c>
      <c r="B103" t="s">
        <v>36</v>
      </c>
      <c r="C103" t="s">
        <v>25</v>
      </c>
    </row>
    <row r="104" spans="1:3">
      <c r="A104" t="s">
        <v>31</v>
      </c>
      <c r="B104" t="s">
        <v>36</v>
      </c>
      <c r="C104" t="s">
        <v>259</v>
      </c>
    </row>
    <row r="105" spans="1:3">
      <c r="A105" t="s">
        <v>31</v>
      </c>
      <c r="B105" t="s">
        <v>36</v>
      </c>
      <c r="C105" t="s">
        <v>180</v>
      </c>
    </row>
    <row r="106" spans="1:3">
      <c r="A106" t="s">
        <v>31</v>
      </c>
      <c r="B106" t="s">
        <v>82</v>
      </c>
      <c r="C106" t="s">
        <v>260</v>
      </c>
    </row>
    <row r="107" spans="1:3">
      <c r="A107" t="s">
        <v>31</v>
      </c>
      <c r="B107" t="s">
        <v>82</v>
      </c>
      <c r="C107" t="s">
        <v>261</v>
      </c>
    </row>
    <row r="108" spans="1:3">
      <c r="A108" t="s">
        <v>31</v>
      </c>
      <c r="B108" t="s">
        <v>82</v>
      </c>
      <c r="C108" t="s">
        <v>262</v>
      </c>
    </row>
    <row r="109" spans="1:3">
      <c r="A109" t="s">
        <v>33</v>
      </c>
      <c r="B109" t="s">
        <v>18</v>
      </c>
      <c r="C109" t="s">
        <v>272</v>
      </c>
    </row>
    <row r="110" spans="1:3">
      <c r="A110" t="s">
        <v>33</v>
      </c>
      <c r="B110" t="s">
        <v>18</v>
      </c>
      <c r="C110" s="21" t="s">
        <v>422</v>
      </c>
    </row>
    <row r="111" spans="1:3">
      <c r="A111" t="s">
        <v>33</v>
      </c>
      <c r="B111" s="14" t="s">
        <v>360</v>
      </c>
      <c r="C111" t="s">
        <v>94</v>
      </c>
    </row>
    <row r="112" spans="1:3">
      <c r="A112" t="s">
        <v>33</v>
      </c>
      <c r="B112" t="s">
        <v>129</v>
      </c>
      <c r="C112" t="s">
        <v>62</v>
      </c>
    </row>
    <row r="113" spans="1:3">
      <c r="A113" t="s">
        <v>33</v>
      </c>
      <c r="B113" t="s">
        <v>129</v>
      </c>
      <c r="C113" t="s">
        <v>268</v>
      </c>
    </row>
    <row r="114" spans="1:3">
      <c r="A114" t="s">
        <v>33</v>
      </c>
      <c r="B114" t="s">
        <v>80</v>
      </c>
      <c r="C114" s="14" t="s">
        <v>384</v>
      </c>
    </row>
    <row r="115" spans="1:3">
      <c r="A115" t="s">
        <v>33</v>
      </c>
      <c r="B115" t="s">
        <v>80</v>
      </c>
      <c r="C115" s="21" t="s">
        <v>483</v>
      </c>
    </row>
    <row r="116" spans="1:3">
      <c r="A116" t="s">
        <v>33</v>
      </c>
      <c r="B116" t="s">
        <v>81</v>
      </c>
      <c r="C116" t="s">
        <v>273</v>
      </c>
    </row>
    <row r="117" spans="1:3">
      <c r="A117" t="s">
        <v>33</v>
      </c>
      <c r="B117" t="s">
        <v>81</v>
      </c>
      <c r="C117" t="s">
        <v>172</v>
      </c>
    </row>
    <row r="118" spans="1:3">
      <c r="A118" t="s">
        <v>33</v>
      </c>
      <c r="B118" t="s">
        <v>81</v>
      </c>
      <c r="C118" t="s">
        <v>55</v>
      </c>
    </row>
    <row r="119" spans="1:3">
      <c r="A119" t="s">
        <v>33</v>
      </c>
      <c r="B119" t="s">
        <v>72</v>
      </c>
      <c r="C119" t="s">
        <v>145</v>
      </c>
    </row>
    <row r="120" spans="1:3">
      <c r="A120" t="s">
        <v>33</v>
      </c>
      <c r="B120" t="s">
        <v>72</v>
      </c>
      <c r="C120" t="s">
        <v>146</v>
      </c>
    </row>
    <row r="121" spans="1:3">
      <c r="A121" t="s">
        <v>33</v>
      </c>
      <c r="B121" t="s">
        <v>72</v>
      </c>
      <c r="C121" t="s">
        <v>515</v>
      </c>
    </row>
    <row r="122" spans="1:3">
      <c r="A122" t="s">
        <v>33</v>
      </c>
      <c r="B122" t="s">
        <v>72</v>
      </c>
      <c r="C122" t="s">
        <v>516</v>
      </c>
    </row>
    <row r="123" spans="1:3">
      <c r="A123" t="s">
        <v>33</v>
      </c>
      <c r="B123" t="s">
        <v>72</v>
      </c>
      <c r="C123" t="s">
        <v>514</v>
      </c>
    </row>
    <row r="124" spans="1:3">
      <c r="A124" t="s">
        <v>33</v>
      </c>
      <c r="B124" s="14" t="s">
        <v>354</v>
      </c>
      <c r="C124" s="14" t="s">
        <v>358</v>
      </c>
    </row>
    <row r="125" spans="1:3">
      <c r="A125" t="s">
        <v>33</v>
      </c>
      <c r="B125" s="14" t="s">
        <v>354</v>
      </c>
      <c r="C125" s="14" t="s">
        <v>359</v>
      </c>
    </row>
    <row r="126" spans="1:3">
      <c r="A126" t="s">
        <v>33</v>
      </c>
      <c r="B126" s="14" t="s">
        <v>354</v>
      </c>
      <c r="C126" t="s">
        <v>271</v>
      </c>
    </row>
    <row r="127" spans="1:3">
      <c r="A127" t="s">
        <v>33</v>
      </c>
      <c r="B127" t="s">
        <v>41</v>
      </c>
      <c r="C127" t="s">
        <v>13</v>
      </c>
    </row>
    <row r="128" spans="1:3">
      <c r="A128" t="s">
        <v>33</v>
      </c>
      <c r="B128" t="s">
        <v>41</v>
      </c>
      <c r="C128" t="s">
        <v>269</v>
      </c>
    </row>
    <row r="129" spans="1:3">
      <c r="A129" t="s">
        <v>33</v>
      </c>
      <c r="B129" t="s">
        <v>41</v>
      </c>
      <c r="C129" t="s">
        <v>54</v>
      </c>
    </row>
    <row r="130" spans="1:3">
      <c r="A130" t="s">
        <v>33</v>
      </c>
      <c r="B130" t="s">
        <v>41</v>
      </c>
      <c r="C130" t="s">
        <v>270</v>
      </c>
    </row>
    <row r="131" spans="1:3">
      <c r="A131" t="s">
        <v>33</v>
      </c>
      <c r="B131" t="s">
        <v>162</v>
      </c>
      <c r="C131" t="s">
        <v>43</v>
      </c>
    </row>
    <row r="132" spans="1:3">
      <c r="A132" t="s">
        <v>33</v>
      </c>
      <c r="B132" t="s">
        <v>162</v>
      </c>
      <c r="C132" t="s">
        <v>93</v>
      </c>
    </row>
    <row r="133" spans="1:3">
      <c r="A133" t="s">
        <v>33</v>
      </c>
      <c r="B133" t="s">
        <v>162</v>
      </c>
      <c r="C133" t="s">
        <v>101</v>
      </c>
    </row>
    <row r="134" spans="1:3">
      <c r="A134" t="s">
        <v>33</v>
      </c>
      <c r="B134" t="s">
        <v>166</v>
      </c>
      <c r="C134" t="s">
        <v>22</v>
      </c>
    </row>
    <row r="135" spans="1:3">
      <c r="A135" t="s">
        <v>33</v>
      </c>
      <c r="B135" t="s">
        <v>166</v>
      </c>
      <c r="C135" t="s">
        <v>144</v>
      </c>
    </row>
    <row r="136" spans="1:3">
      <c r="A136" t="s">
        <v>33</v>
      </c>
      <c r="B136" t="s">
        <v>166</v>
      </c>
      <c r="C136" t="s">
        <v>136</v>
      </c>
    </row>
    <row r="137" spans="1:3">
      <c r="A137" t="s">
        <v>33</v>
      </c>
      <c r="B137" t="s">
        <v>166</v>
      </c>
      <c r="C137" t="s">
        <v>98</v>
      </c>
    </row>
  </sheetData>
  <sortState xmlns:xlrd2="http://schemas.microsoft.com/office/spreadsheetml/2017/richdata2" ref="A109:H137">
    <sortCondition ref="B109:B137"/>
  </sortState>
  <phoneticPr fontId="2" type="noConversion"/>
  <hyperlinks>
    <hyperlink ref="A1" location="Index!A1" display="Return to Index" xr:uid="{00000000-0004-0000-2900-000000000000}"/>
  </hyperlink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D1B-01C4-442F-93FE-5457FE20933D}">
  <dimension ref="A1:AU76"/>
  <sheetViews>
    <sheetView workbookViewId="0"/>
  </sheetViews>
  <sheetFormatPr defaultRowHeight="12.75"/>
  <cols>
    <col min="1" max="1" width="25.1328125" customWidth="1"/>
    <col min="2" max="4" width="11.86328125" customWidth="1"/>
    <col min="5" max="5" width="21.6640625" customWidth="1"/>
    <col min="7" max="8" width="8.86328125" customWidth="1"/>
    <col min="9" max="9" width="11.86328125" customWidth="1"/>
    <col min="10" max="19" width="8.86328125" customWidth="1"/>
    <col min="21" max="21" width="29.1328125" customWidth="1"/>
    <col min="22" max="22" width="15.1328125" customWidth="1"/>
    <col min="25" max="25" width="18.86328125" customWidth="1"/>
    <col min="26" max="26" width="6" customWidth="1"/>
  </cols>
  <sheetData>
    <row r="1" spans="1:47">
      <c r="A1" s="1" t="s">
        <v>106</v>
      </c>
      <c r="U1" s="1" t="s">
        <v>106</v>
      </c>
    </row>
    <row r="3" spans="1:47" ht="17.649999999999999">
      <c r="A3" s="83" t="s">
        <v>8</v>
      </c>
      <c r="U3" s="83" t="s">
        <v>513</v>
      </c>
    </row>
    <row r="4" spans="1:47" ht="13.15">
      <c r="A4" s="2"/>
    </row>
    <row r="5" spans="1:47" ht="13.15">
      <c r="A5" s="38" t="s">
        <v>141</v>
      </c>
      <c r="B5" s="39"/>
      <c r="C5" s="39"/>
      <c r="D5" s="39"/>
      <c r="E5" s="39"/>
      <c r="F5" s="39"/>
      <c r="G5" s="39"/>
      <c r="H5" s="39"/>
      <c r="I5" s="39"/>
      <c r="M5" s="21"/>
      <c r="N5" s="21"/>
      <c r="O5" s="21"/>
      <c r="P5" s="21"/>
      <c r="U5" s="38" t="s">
        <v>0</v>
      </c>
      <c r="V5" s="39"/>
      <c r="W5" s="39"/>
      <c r="X5" s="39"/>
      <c r="Y5" s="39"/>
      <c r="Z5" s="39"/>
      <c r="AA5" s="39"/>
      <c r="AB5" s="39"/>
      <c r="AC5" s="40"/>
      <c r="AJ5" s="21"/>
      <c r="AK5" s="21"/>
      <c r="AL5" s="21"/>
      <c r="AM5" s="21"/>
      <c r="AN5" s="21"/>
      <c r="AO5" s="21"/>
      <c r="AP5" s="21"/>
      <c r="AQ5" s="21"/>
      <c r="AR5" s="21"/>
      <c r="AS5" s="21"/>
      <c r="AT5" s="21"/>
      <c r="AU5" s="21"/>
    </row>
    <row r="6" spans="1:47" ht="13.15">
      <c r="A6" s="44" t="s">
        <v>142</v>
      </c>
      <c r="B6" s="45"/>
      <c r="C6" s="45"/>
      <c r="D6" s="45"/>
      <c r="E6" s="45"/>
      <c r="F6" s="45"/>
      <c r="G6" s="45"/>
      <c r="H6" s="45"/>
      <c r="I6" s="45"/>
      <c r="M6" s="27"/>
      <c r="N6" s="27"/>
      <c r="O6" s="27"/>
      <c r="P6" s="27"/>
      <c r="U6" s="41" t="s">
        <v>1</v>
      </c>
      <c r="V6" s="42"/>
      <c r="W6" s="42"/>
      <c r="X6" s="42"/>
      <c r="Y6" s="42"/>
      <c r="Z6" s="42"/>
      <c r="AA6" s="42"/>
      <c r="AB6" s="42"/>
      <c r="AC6" s="43"/>
      <c r="AJ6" s="21"/>
      <c r="AK6" s="21"/>
      <c r="AL6" s="21"/>
      <c r="AM6" s="21"/>
      <c r="AN6" s="21"/>
      <c r="AO6" s="21"/>
      <c r="AP6" s="21"/>
      <c r="AQ6" s="21"/>
      <c r="AR6" s="21"/>
      <c r="AS6" s="21"/>
      <c r="AT6" s="21"/>
      <c r="AU6" s="21"/>
    </row>
    <row r="7" spans="1:47" ht="13.15">
      <c r="U7" s="44" t="s">
        <v>44</v>
      </c>
      <c r="V7" s="45"/>
      <c r="W7" s="45"/>
      <c r="X7" s="45"/>
      <c r="Y7" s="45"/>
      <c r="Z7" s="45"/>
      <c r="AA7" s="45"/>
      <c r="AB7" s="45"/>
      <c r="AC7" s="46"/>
      <c r="AJ7" s="27"/>
      <c r="AK7" s="27"/>
      <c r="AL7" s="27"/>
      <c r="AM7" s="27"/>
      <c r="AN7" s="27"/>
      <c r="AO7" s="27"/>
      <c r="AP7" s="27"/>
      <c r="AQ7" s="27"/>
      <c r="AR7" s="27"/>
      <c r="AS7" s="27"/>
      <c r="AT7" s="27"/>
      <c r="AU7" s="27"/>
    </row>
    <row r="8" spans="1:47" ht="13.15">
      <c r="A8" s="2" t="s">
        <v>7</v>
      </c>
      <c r="U8" s="14" t="s">
        <v>370</v>
      </c>
    </row>
    <row r="9" spans="1:47">
      <c r="A9" s="14" t="s">
        <v>369</v>
      </c>
      <c r="U9" s="1" t="s">
        <v>45</v>
      </c>
    </row>
    <row r="10" spans="1:47">
      <c r="A10" s="1" t="s">
        <v>45</v>
      </c>
    </row>
    <row r="11" spans="1:47" ht="13.15">
      <c r="U11" s="2"/>
      <c r="V11" s="2">
        <v>2017</v>
      </c>
      <c r="W11" s="2" t="s">
        <v>12</v>
      </c>
      <c r="X11" s="2" t="s">
        <v>227</v>
      </c>
      <c r="Y11" s="2" t="s">
        <v>226</v>
      </c>
      <c r="Z11" s="2" t="s">
        <v>27</v>
      </c>
      <c r="AA11" s="50"/>
      <c r="AB11" s="50"/>
      <c r="AC11" s="50"/>
    </row>
    <row r="12" spans="1:47" ht="13.15">
      <c r="A12" s="2" t="s">
        <v>9</v>
      </c>
      <c r="T12">
        <v>1</v>
      </c>
      <c r="V12" s="49">
        <v>1</v>
      </c>
      <c r="W12">
        <v>0</v>
      </c>
      <c r="X12" s="93"/>
    </row>
    <row r="13" spans="1:47">
      <c r="L13" s="94" t="s">
        <v>228</v>
      </c>
      <c r="M13" s="94" t="s">
        <v>229</v>
      </c>
      <c r="N13" s="94" t="s">
        <v>230</v>
      </c>
      <c r="T13">
        <v>2</v>
      </c>
      <c r="U13" s="162" t="s">
        <v>40</v>
      </c>
      <c r="V13" s="49">
        <v>1</v>
      </c>
      <c r="W13" s="22">
        <f>1+J16</f>
        <v>0.94491592150688986</v>
      </c>
      <c r="X13" s="93" t="str">
        <f>D16</f>
        <v>ê</v>
      </c>
      <c r="Y13" s="10" t="str">
        <f>E16</f>
        <v>worsening trend by</v>
      </c>
      <c r="Z13" s="58">
        <f>F16</f>
        <v>5.5084078493110145E-2</v>
      </c>
    </row>
    <row r="14" spans="1:47" ht="13.15">
      <c r="A14" s="2" t="s">
        <v>132</v>
      </c>
      <c r="B14" s="12">
        <v>2018</v>
      </c>
      <c r="C14" s="12" t="s">
        <v>12</v>
      </c>
      <c r="D14" s="12" t="s">
        <v>227</v>
      </c>
      <c r="E14" s="2" t="s">
        <v>226</v>
      </c>
      <c r="F14" s="2" t="s">
        <v>27</v>
      </c>
      <c r="I14" s="2" t="s">
        <v>57</v>
      </c>
      <c r="J14" s="2" t="s">
        <v>26</v>
      </c>
      <c r="L14" s="2" t="s">
        <v>225</v>
      </c>
      <c r="O14" s="2" t="s">
        <v>461</v>
      </c>
      <c r="P14" s="2"/>
      <c r="T14">
        <v>3</v>
      </c>
      <c r="V14" s="49">
        <v>1</v>
      </c>
      <c r="W14">
        <v>0</v>
      </c>
      <c r="X14" s="93"/>
    </row>
    <row r="15" spans="1:47" ht="13.15">
      <c r="A15" s="177" t="s">
        <v>32</v>
      </c>
      <c r="B15" s="158"/>
      <c r="C15" s="159"/>
      <c r="D15" s="93"/>
      <c r="E15" s="10"/>
      <c r="F15" s="10"/>
      <c r="I15" s="159"/>
      <c r="J15" s="10"/>
      <c r="L15" s="67" t="s">
        <v>58</v>
      </c>
      <c r="M15" s="62" t="s">
        <v>59</v>
      </c>
      <c r="N15" s="62" t="s">
        <v>60</v>
      </c>
      <c r="O15">
        <v>1</v>
      </c>
      <c r="P15" s="2" t="s">
        <v>32</v>
      </c>
      <c r="T15">
        <v>4</v>
      </c>
      <c r="U15" s="162" t="s">
        <v>160</v>
      </c>
      <c r="V15" s="49">
        <v>1</v>
      </c>
      <c r="W15" s="22">
        <f>1+J17</f>
        <v>0.94857142857142873</v>
      </c>
      <c r="X15" s="93" t="str">
        <f>D17</f>
        <v>ê</v>
      </c>
      <c r="Y15" s="10" t="str">
        <f>E17</f>
        <v>worsening trend by</v>
      </c>
      <c r="Z15" s="58">
        <f>F17</f>
        <v>5.1428571428571268E-2</v>
      </c>
    </row>
    <row r="16" spans="1:47">
      <c r="A16" s="178" t="s">
        <v>40</v>
      </c>
      <c r="B16" s="9">
        <f>+'WPI time series'!S19</f>
        <v>4579.1886920656925</v>
      </c>
      <c r="C16" s="9">
        <f>'WPI Score Card'!C16</f>
        <v>4326.9483027171837</v>
      </c>
      <c r="D16" s="93" t="str">
        <f>+IF(E16="improving trend by",M$13,IF(E16="worsening trend by",L$13,N$13))</f>
        <v>ê</v>
      </c>
      <c r="E16" s="10" t="str">
        <f>IF(J16&lt;M16,"worsening trend by",IF(J16&gt;N16,"improving trend by","no significant change"))</f>
        <v>worsening trend by</v>
      </c>
      <c r="F16" s="10">
        <f>+ABS(J16)</f>
        <v>5.5084078493110145E-2</v>
      </c>
      <c r="I16" s="31" t="s">
        <v>115</v>
      </c>
      <c r="J16" s="10">
        <f>+C16/B16-1</f>
        <v>-5.5084078493110145E-2</v>
      </c>
      <c r="L16" s="9">
        <v>50</v>
      </c>
      <c r="M16" s="10">
        <f>-L16/C16</f>
        <v>-1.1555488187506565E-2</v>
      </c>
      <c r="N16" s="10">
        <f>+L16/C16</f>
        <v>1.1555488187506565E-2</v>
      </c>
      <c r="O16">
        <v>2</v>
      </c>
      <c r="P16" t="s">
        <v>40</v>
      </c>
      <c r="T16">
        <v>5</v>
      </c>
      <c r="V16" s="49">
        <v>1</v>
      </c>
      <c r="W16">
        <v>0</v>
      </c>
      <c r="X16" s="93"/>
    </row>
    <row r="17" spans="1:26">
      <c r="A17" s="178" t="s">
        <v>160</v>
      </c>
      <c r="B17" s="10">
        <f>+'WPI time series'!S20</f>
        <v>0.7</v>
      </c>
      <c r="C17" s="10">
        <f>'WPI Score Card'!C17</f>
        <v>0.66400000000000003</v>
      </c>
      <c r="D17" s="93" t="str">
        <f>+IF(E17="improving trend by",M$13,IF(E17="worsening trend by",L$13,N$13))</f>
        <v>ê</v>
      </c>
      <c r="E17" s="10" t="str">
        <f>IF(J17&lt;M17,"worsening trend by",IF(J17&gt;N17,"improving trend by","no significant change"))</f>
        <v>worsening trend by</v>
      </c>
      <c r="F17" s="10">
        <f>+ABS(J17)</f>
        <v>5.1428571428571268E-2</v>
      </c>
      <c r="I17" s="31" t="s">
        <v>115</v>
      </c>
      <c r="J17" s="10">
        <f>+C17/B17-1</f>
        <v>-5.1428571428571268E-2</v>
      </c>
      <c r="L17" s="10">
        <v>0.03</v>
      </c>
      <c r="M17" s="10">
        <f>-L17</f>
        <v>-0.03</v>
      </c>
      <c r="N17" s="10">
        <f>+L17</f>
        <v>0.03</v>
      </c>
      <c r="O17">
        <v>3</v>
      </c>
      <c r="P17" t="s">
        <v>160</v>
      </c>
      <c r="T17">
        <v>6</v>
      </c>
      <c r="U17" s="162" t="s">
        <v>38</v>
      </c>
      <c r="V17" s="49">
        <v>1</v>
      </c>
      <c r="W17" s="22">
        <f>1+J18</f>
        <v>1.0238948577129461</v>
      </c>
      <c r="X17" s="93" t="str">
        <f>D18</f>
        <v>§</v>
      </c>
      <c r="Y17" s="10" t="str">
        <f>E18</f>
        <v>no significant change</v>
      </c>
      <c r="Z17" s="58">
        <f>F18</f>
        <v>2.3894857712946083E-2</v>
      </c>
    </row>
    <row r="18" spans="1:26">
      <c r="A18" s="178" t="s">
        <v>38</v>
      </c>
      <c r="B18" s="19">
        <f>+'WPI time series'!S21</f>
        <v>2031.4585861345718</v>
      </c>
      <c r="C18" s="19">
        <f>'WPI Score Card'!C18</f>
        <v>2080</v>
      </c>
      <c r="D18" s="93" t="str">
        <f>+IF(E18="improving trend by",M$13,IF(E18="worsening trend by",L$13,N$13))</f>
        <v>§</v>
      </c>
      <c r="E18" s="10" t="str">
        <f>IF(J18&lt;M18,"worsening trend by",IF(J18&gt;N18,"improving trend by","no significant change"))</f>
        <v>no significant change</v>
      </c>
      <c r="F18" s="10">
        <f>+ABS(J18)</f>
        <v>2.3894857712946083E-2</v>
      </c>
      <c r="I18" s="31" t="s">
        <v>115</v>
      </c>
      <c r="J18" s="10">
        <f>+C18/B18-1</f>
        <v>2.3894857712946083E-2</v>
      </c>
      <c r="L18" s="66">
        <v>50</v>
      </c>
      <c r="M18" s="10">
        <f>-L18/C18</f>
        <v>-2.403846153846154E-2</v>
      </c>
      <c r="N18" s="10">
        <f>+L18/C18</f>
        <v>2.403846153846154E-2</v>
      </c>
      <c r="O18">
        <v>4</v>
      </c>
      <c r="P18" t="s">
        <v>38</v>
      </c>
      <c r="T18">
        <v>7</v>
      </c>
      <c r="V18" s="49">
        <v>1</v>
      </c>
      <c r="W18">
        <v>0</v>
      </c>
      <c r="X18" s="93"/>
    </row>
    <row r="19" spans="1:26">
      <c r="A19" s="178" t="s">
        <v>37</v>
      </c>
      <c r="B19" s="158">
        <f>+'WPI time series'!S22</f>
        <v>62247.293423271498</v>
      </c>
      <c r="C19" s="159">
        <f>'WPI Score Card'!C19</f>
        <v>67028</v>
      </c>
      <c r="D19" s="93" t="str">
        <f>+IF(E19="improving trend by",M$13,IF(E19="worsening trend by",L$13,N$13))</f>
        <v>é</v>
      </c>
      <c r="E19" s="10" t="str">
        <f>IF(J19&lt;M19,"worsening trend by",IF(J19&gt;N19,"improving trend by","no significant change"))</f>
        <v>improving trend by</v>
      </c>
      <c r="F19" s="10">
        <f>+ABS(J19)</f>
        <v>7.6801838502767783E-2</v>
      </c>
      <c r="I19" s="31" t="s">
        <v>115</v>
      </c>
      <c r="J19" s="10">
        <f>+C19/B19-1</f>
        <v>7.6801838502767783E-2</v>
      </c>
      <c r="L19" s="66">
        <v>3000</v>
      </c>
      <c r="M19" s="10">
        <v>-0.05</v>
      </c>
      <c r="N19" s="10">
        <v>0.05</v>
      </c>
      <c r="O19">
        <v>5</v>
      </c>
      <c r="P19" t="s">
        <v>37</v>
      </c>
      <c r="T19">
        <v>8</v>
      </c>
      <c r="U19" s="162" t="s">
        <v>37</v>
      </c>
      <c r="V19" s="49">
        <v>1</v>
      </c>
      <c r="W19" s="22">
        <f>1+J19</f>
        <v>1.0768018385027678</v>
      </c>
      <c r="X19" s="93" t="str">
        <f>D19</f>
        <v>é</v>
      </c>
      <c r="Y19" s="10" t="str">
        <f>E19</f>
        <v>improving trend by</v>
      </c>
      <c r="Z19" s="58">
        <f>F19</f>
        <v>7.6801838502767783E-2</v>
      </c>
    </row>
    <row r="20" spans="1:26">
      <c r="A20" s="178" t="s">
        <v>71</v>
      </c>
      <c r="B20" s="160">
        <f>+'WPI time series'!S23</f>
        <v>0.85799999999999998</v>
      </c>
      <c r="C20" s="160">
        <f>'WPI Score Card'!C20</f>
        <v>0.91164434922335302</v>
      </c>
      <c r="D20" s="93" t="str">
        <f>+IF(E20="improving trend by",M$13,IF(E20="worsening trend by",L$13,N$13))</f>
        <v>ê</v>
      </c>
      <c r="E20" s="10" t="str">
        <f>IF(J20&gt;N20,"worsening trend by",IF(J20&lt;M20,"improving trend by","no significant change"))</f>
        <v>worsening trend by</v>
      </c>
      <c r="F20" s="10">
        <f>+ABS(J20)</f>
        <v>6.252255154236952E-2</v>
      </c>
      <c r="I20" s="32" t="s">
        <v>114</v>
      </c>
      <c r="J20" s="10">
        <f>+C20/B20-1</f>
        <v>6.252255154236952E-2</v>
      </c>
      <c r="L20" s="15">
        <v>0.03</v>
      </c>
      <c r="M20" s="10">
        <f>-L20</f>
        <v>-0.03</v>
      </c>
      <c r="N20" s="10">
        <f>+L20</f>
        <v>0.03</v>
      </c>
      <c r="O20">
        <v>6</v>
      </c>
      <c r="P20" t="s">
        <v>71</v>
      </c>
      <c r="T20">
        <v>9</v>
      </c>
      <c r="V20" s="49">
        <v>1</v>
      </c>
      <c r="W20">
        <v>0</v>
      </c>
      <c r="X20" s="93"/>
    </row>
    <row r="21" spans="1:26" ht="13.15">
      <c r="A21" s="179" t="s">
        <v>31</v>
      </c>
      <c r="B21" s="10"/>
      <c r="C21" s="10"/>
      <c r="D21" s="93"/>
      <c r="E21" s="10"/>
      <c r="F21" s="10"/>
      <c r="I21" s="10"/>
      <c r="J21" s="10"/>
      <c r="O21">
        <v>7</v>
      </c>
      <c r="P21" s="2" t="s">
        <v>31</v>
      </c>
      <c r="T21">
        <v>10</v>
      </c>
      <c r="U21" s="162" t="s">
        <v>71</v>
      </c>
      <c r="V21" s="49">
        <v>1</v>
      </c>
      <c r="W21" s="22">
        <f>1-J20</f>
        <v>0.93747744845763048</v>
      </c>
      <c r="X21" s="93" t="str">
        <f>D20</f>
        <v>ê</v>
      </c>
      <c r="Y21" s="10" t="str">
        <f>E20</f>
        <v>worsening trend by</v>
      </c>
      <c r="Z21" s="58">
        <f>F20</f>
        <v>6.252255154236952E-2</v>
      </c>
    </row>
    <row r="22" spans="1:26">
      <c r="A22" s="180" t="s">
        <v>83</v>
      </c>
      <c r="B22" s="15">
        <f>+'WPI time series'!S24</f>
        <v>0.36</v>
      </c>
      <c r="C22" s="15">
        <f>'WPI Score Card'!C22</f>
        <v>0.31</v>
      </c>
      <c r="D22" s="93" t="str">
        <f t="shared" ref="D22:D38" si="0">+IF(E22="improving trend by",M$13,IF(E22="worsening trend by",L$13,N$13))</f>
        <v>ê</v>
      </c>
      <c r="E22" s="10" t="str">
        <f>IF(J22&lt;M22,"worsening trend by",IF(J22&gt;N22,"improving trend by","no significant change"))</f>
        <v>worsening trend by</v>
      </c>
      <c r="F22" s="10">
        <f t="shared" ref="F22:F38" si="1">+ABS(J22)</f>
        <v>0.13888888888888884</v>
      </c>
      <c r="I22" s="31" t="s">
        <v>115</v>
      </c>
      <c r="J22" s="10">
        <f t="shared" ref="J22:J38" si="2">+C22/B22-1</f>
        <v>-0.13888888888888884</v>
      </c>
      <c r="L22" s="10">
        <v>0.03</v>
      </c>
      <c r="M22" s="10">
        <f>-L22</f>
        <v>-0.03</v>
      </c>
      <c r="N22" s="10">
        <f>+L22</f>
        <v>0.03</v>
      </c>
      <c r="O22">
        <v>8</v>
      </c>
      <c r="P22" t="s">
        <v>83</v>
      </c>
      <c r="T22">
        <v>11</v>
      </c>
      <c r="V22" s="49">
        <v>1</v>
      </c>
      <c r="W22">
        <v>0</v>
      </c>
      <c r="X22" s="93"/>
    </row>
    <row r="23" spans="1:26">
      <c r="A23" s="180" t="s">
        <v>34</v>
      </c>
      <c r="B23" s="15">
        <f>+'WPI time series'!S25</f>
        <v>0.62</v>
      </c>
      <c r="C23" s="15">
        <f>'WPI Score Card'!C23</f>
        <v>0.64</v>
      </c>
      <c r="D23" s="93" t="str">
        <f t="shared" si="0"/>
        <v>é</v>
      </c>
      <c r="E23" s="10" t="str">
        <f>IF(J23&lt;M23,"worsening trend by",IF(J23&gt;N23,"improving trend by","no significant change"))</f>
        <v>improving trend by</v>
      </c>
      <c r="F23" s="10">
        <f t="shared" si="1"/>
        <v>3.2258064516129004E-2</v>
      </c>
      <c r="I23" s="31" t="s">
        <v>115</v>
      </c>
      <c r="J23" s="10">
        <f t="shared" si="2"/>
        <v>3.2258064516129004E-2</v>
      </c>
      <c r="L23" s="10">
        <v>0.03</v>
      </c>
      <c r="M23" s="10">
        <f>-L23</f>
        <v>-0.03</v>
      </c>
      <c r="N23" s="10">
        <f>+L23</f>
        <v>0.03</v>
      </c>
      <c r="O23">
        <v>9</v>
      </c>
      <c r="P23" t="s">
        <v>34</v>
      </c>
      <c r="T23">
        <v>12</v>
      </c>
      <c r="U23" s="162" t="s">
        <v>83</v>
      </c>
      <c r="V23" s="49">
        <v>1</v>
      </c>
      <c r="W23" s="22">
        <f>1+J22</f>
        <v>0.86111111111111116</v>
      </c>
      <c r="X23" s="93" t="str">
        <f>D22</f>
        <v>ê</v>
      </c>
      <c r="Y23" s="10" t="str">
        <f>E22</f>
        <v>worsening trend by</v>
      </c>
      <c r="Z23" s="58">
        <f>F22</f>
        <v>0.13888888888888884</v>
      </c>
    </row>
    <row r="24" spans="1:26">
      <c r="A24" s="180" t="s">
        <v>14</v>
      </c>
      <c r="B24" s="59">
        <f>+'WPI time series'!S26</f>
        <v>588.94561786327142</v>
      </c>
      <c r="C24" s="59">
        <f>'WPI Score Card'!C24</f>
        <v>845.8143837200339</v>
      </c>
      <c r="D24" s="93" t="str">
        <f t="shared" si="0"/>
        <v>ê</v>
      </c>
      <c r="E24" s="10" t="str">
        <f>IF(J24&gt;N24,"worsening trend by",IF(J24&lt;M24,"improving trend by","no significant change"))</f>
        <v>worsening trend by</v>
      </c>
      <c r="F24" s="10">
        <f t="shared" si="1"/>
        <v>0.43615022858765329</v>
      </c>
      <c r="I24" s="32" t="s">
        <v>114</v>
      </c>
      <c r="J24" s="10">
        <f t="shared" si="2"/>
        <v>0.43615022858765329</v>
      </c>
      <c r="L24" s="59">
        <v>50</v>
      </c>
      <c r="M24" s="10">
        <f>-L24/C24</f>
        <v>-5.9114624866145681E-2</v>
      </c>
      <c r="N24" s="10">
        <f>+L24/C24</f>
        <v>5.9114624866145681E-2</v>
      </c>
      <c r="O24">
        <v>10</v>
      </c>
      <c r="P24" t="s">
        <v>14</v>
      </c>
      <c r="T24">
        <v>13</v>
      </c>
      <c r="V24" s="49">
        <v>1</v>
      </c>
      <c r="W24">
        <v>0</v>
      </c>
      <c r="X24" s="93"/>
    </row>
    <row r="25" spans="1:26">
      <c r="A25" s="180" t="s">
        <v>39</v>
      </c>
      <c r="B25" s="15">
        <f>+'WPI time series'!S27</f>
        <v>0.41</v>
      </c>
      <c r="C25" s="15">
        <f>'WPI Score Card'!C25</f>
        <v>0.39</v>
      </c>
      <c r="D25" s="93" t="str">
        <f t="shared" si="0"/>
        <v>ê</v>
      </c>
      <c r="E25" s="10" t="str">
        <f>IF(J25&lt;M25,"worsening trend by",IF(J25&gt;N25,"improving trend by","no significant change"))</f>
        <v>worsening trend by</v>
      </c>
      <c r="F25" s="10">
        <f t="shared" si="1"/>
        <v>4.8780487804877981E-2</v>
      </c>
      <c r="I25" s="31" t="s">
        <v>115</v>
      </c>
      <c r="J25" s="10">
        <f t="shared" si="2"/>
        <v>-4.8780487804877981E-2</v>
      </c>
      <c r="L25" s="10">
        <v>0.03</v>
      </c>
      <c r="M25" s="10">
        <f>-L25</f>
        <v>-0.03</v>
      </c>
      <c r="N25" s="10">
        <f>+L25</f>
        <v>0.03</v>
      </c>
      <c r="O25">
        <v>11</v>
      </c>
      <c r="P25" t="s">
        <v>39</v>
      </c>
      <c r="T25">
        <v>14</v>
      </c>
      <c r="U25" s="162" t="s">
        <v>34</v>
      </c>
      <c r="V25" s="49">
        <v>1</v>
      </c>
      <c r="W25" s="22">
        <f>1+J23</f>
        <v>1.032258064516129</v>
      </c>
      <c r="X25" s="93" t="str">
        <f>D23</f>
        <v>é</v>
      </c>
      <c r="Y25" s="10" t="str">
        <f>E23</f>
        <v>improving trend by</v>
      </c>
      <c r="Z25" s="58">
        <f>F23</f>
        <v>3.2258064516129004E-2</v>
      </c>
    </row>
    <row r="26" spans="1:26">
      <c r="A26" s="180" t="s">
        <v>68</v>
      </c>
      <c r="B26" s="10">
        <f>+'WPI time series'!S28</f>
        <v>0.79099999999999993</v>
      </c>
      <c r="C26" s="10">
        <f>'WPI Score Card'!C26</f>
        <v>0.72199999999999998</v>
      </c>
      <c r="D26" s="93" t="str">
        <f t="shared" si="0"/>
        <v>ê</v>
      </c>
      <c r="E26" s="10" t="str">
        <f>IF(J26&lt;M26,"worsening trend by",IF(J26&gt;N26,"improving trend by","no significant change"))</f>
        <v>worsening trend by</v>
      </c>
      <c r="F26" s="10">
        <f t="shared" si="1"/>
        <v>8.7231352718078359E-2</v>
      </c>
      <c r="I26" s="31" t="s">
        <v>115</v>
      </c>
      <c r="J26" s="10">
        <f t="shared" si="2"/>
        <v>-8.7231352718078359E-2</v>
      </c>
      <c r="L26" s="10">
        <v>0.03</v>
      </c>
      <c r="M26" s="10">
        <f>-L26</f>
        <v>-0.03</v>
      </c>
      <c r="N26" s="10">
        <f>+L26</f>
        <v>0.03</v>
      </c>
      <c r="O26">
        <v>12</v>
      </c>
      <c r="P26" t="s">
        <v>68</v>
      </c>
      <c r="T26">
        <v>15</v>
      </c>
      <c r="V26" s="49">
        <v>1</v>
      </c>
      <c r="W26">
        <v>0</v>
      </c>
      <c r="X26" s="93"/>
    </row>
    <row r="27" spans="1:26">
      <c r="A27" s="180" t="s">
        <v>65</v>
      </c>
      <c r="B27" s="10">
        <f>+'WPI time series'!S29</f>
        <v>0.20199999999999999</v>
      </c>
      <c r="C27" s="10">
        <f>'WPI Score Card'!C27</f>
        <v>0.223</v>
      </c>
      <c r="D27" s="93" t="str">
        <f t="shared" si="0"/>
        <v>ê</v>
      </c>
      <c r="E27" s="10" t="str">
        <f>IF(J27&gt;N27,"worsening trend by",IF(J27&lt;M27,"improving trend by","no significant change"))</f>
        <v>worsening trend by</v>
      </c>
      <c r="F27" s="10">
        <f t="shared" si="1"/>
        <v>0.10396039603960405</v>
      </c>
      <c r="I27" s="32" t="s">
        <v>114</v>
      </c>
      <c r="J27" s="10">
        <f t="shared" si="2"/>
        <v>0.10396039603960405</v>
      </c>
      <c r="L27" s="10">
        <v>0.1</v>
      </c>
      <c r="M27" s="10">
        <f>-L27</f>
        <v>-0.1</v>
      </c>
      <c r="N27" s="10">
        <f>+L27</f>
        <v>0.1</v>
      </c>
      <c r="O27">
        <v>13</v>
      </c>
      <c r="P27" t="s">
        <v>65</v>
      </c>
      <c r="T27">
        <v>16</v>
      </c>
      <c r="U27" s="162" t="s">
        <v>14</v>
      </c>
      <c r="V27" s="49">
        <v>1</v>
      </c>
      <c r="W27" s="22">
        <f>1-J24</f>
        <v>0.56384977141234671</v>
      </c>
      <c r="X27" s="93" t="str">
        <f>D24</f>
        <v>ê</v>
      </c>
      <c r="Y27" s="10" t="str">
        <f>E24</f>
        <v>worsening trend by</v>
      </c>
      <c r="Z27" s="58">
        <f>F24</f>
        <v>0.43615022858765329</v>
      </c>
    </row>
    <row r="28" spans="1:26">
      <c r="A28" s="180" t="s">
        <v>159</v>
      </c>
      <c r="B28" s="22">
        <f>+'WPI time series'!S30</f>
        <v>0.39489459529999998</v>
      </c>
      <c r="C28" s="22">
        <f>'WPI Score Card'!C28</f>
        <v>0.39102622770000001</v>
      </c>
      <c r="D28" s="93" t="str">
        <f t="shared" si="0"/>
        <v>§</v>
      </c>
      <c r="E28" s="10" t="str">
        <f>IF(J28&gt;N28,"worsening trend by",IF(J28&lt;M28,"improving trend by","no significant change"))</f>
        <v>no significant change</v>
      </c>
      <c r="F28" s="10">
        <f t="shared" si="1"/>
        <v>9.795949719345165E-3</v>
      </c>
      <c r="I28" s="32" t="s">
        <v>114</v>
      </c>
      <c r="J28" s="10">
        <f t="shared" si="2"/>
        <v>-9.795949719345165E-3</v>
      </c>
      <c r="L28" s="22">
        <v>0.15</v>
      </c>
      <c r="M28" s="10">
        <f>-L28</f>
        <v>-0.15</v>
      </c>
      <c r="N28" s="10">
        <f>+L28</f>
        <v>0.15</v>
      </c>
      <c r="O28">
        <v>14</v>
      </c>
      <c r="P28" t="s">
        <v>159</v>
      </c>
      <c r="T28">
        <v>17</v>
      </c>
      <c r="V28" s="49">
        <v>1</v>
      </c>
      <c r="W28">
        <v>0</v>
      </c>
      <c r="X28" s="93"/>
    </row>
    <row r="29" spans="1:26">
      <c r="A29" s="180" t="s">
        <v>69</v>
      </c>
      <c r="B29" s="59">
        <f>+'WPI time series'!S31</f>
        <v>81.349999999999994</v>
      </c>
      <c r="C29" s="59">
        <f>'WPI Score Card'!C29</f>
        <v>81.349999999999994</v>
      </c>
      <c r="D29" s="93" t="str">
        <f t="shared" si="0"/>
        <v>§</v>
      </c>
      <c r="E29" s="10" t="str">
        <f t="shared" ref="E29:E34" si="3">IF(J29&lt;M29,"worsening trend by",IF(J29&gt;N29,"improving trend by","no significant change"))</f>
        <v>no significant change</v>
      </c>
      <c r="F29" s="10">
        <f t="shared" si="1"/>
        <v>0</v>
      </c>
      <c r="I29" s="31" t="s">
        <v>115</v>
      </c>
      <c r="J29" s="10">
        <f t="shared" si="2"/>
        <v>0</v>
      </c>
      <c r="L29" s="59">
        <v>1</v>
      </c>
      <c r="M29" s="10">
        <f>-L29/C29</f>
        <v>-1.2292562999385373E-2</v>
      </c>
      <c r="N29" s="10">
        <f>+L29/C29</f>
        <v>1.2292562999385373E-2</v>
      </c>
      <c r="O29">
        <v>15</v>
      </c>
      <c r="P29" t="s">
        <v>69</v>
      </c>
      <c r="T29">
        <v>18</v>
      </c>
      <c r="U29" s="162" t="s">
        <v>39</v>
      </c>
      <c r="V29" s="49">
        <v>1</v>
      </c>
      <c r="W29" s="22">
        <f>1+J25</f>
        <v>0.95121951219512202</v>
      </c>
      <c r="X29" s="93" t="str">
        <f>D25</f>
        <v>ê</v>
      </c>
      <c r="Y29" s="10" t="str">
        <f>E25</f>
        <v>worsening trend by</v>
      </c>
      <c r="Z29" s="58">
        <f>F25</f>
        <v>4.8780487804877981E-2</v>
      </c>
    </row>
    <row r="30" spans="1:26">
      <c r="A30" s="180" t="s">
        <v>154</v>
      </c>
      <c r="B30" s="15">
        <f>+'WPI time series'!S32</f>
        <v>0.87</v>
      </c>
      <c r="C30" s="15">
        <f>'WPI Score Card'!C30</f>
        <v>0.86</v>
      </c>
      <c r="D30" s="93" t="str">
        <f t="shared" si="0"/>
        <v>§</v>
      </c>
      <c r="E30" s="10" t="str">
        <f t="shared" si="3"/>
        <v>no significant change</v>
      </c>
      <c r="F30" s="10">
        <f t="shared" si="1"/>
        <v>1.1494252873563204E-2</v>
      </c>
      <c r="I30" s="31" t="s">
        <v>115</v>
      </c>
      <c r="J30" s="10">
        <f t="shared" si="2"/>
        <v>-1.1494252873563204E-2</v>
      </c>
      <c r="L30" s="10">
        <v>3.2000000000000001E-2</v>
      </c>
      <c r="M30" s="10">
        <f>-L30</f>
        <v>-3.2000000000000001E-2</v>
      </c>
      <c r="N30" s="10">
        <f>+L30</f>
        <v>3.2000000000000001E-2</v>
      </c>
      <c r="O30">
        <v>16</v>
      </c>
      <c r="P30" t="s">
        <v>154</v>
      </c>
      <c r="T30">
        <v>19</v>
      </c>
      <c r="V30" s="49">
        <v>1</v>
      </c>
      <c r="W30">
        <v>0</v>
      </c>
      <c r="X30" s="93"/>
    </row>
    <row r="31" spans="1:26">
      <c r="A31" s="180" t="s">
        <v>67</v>
      </c>
      <c r="B31" s="15">
        <f>+'WPI time series'!S33</f>
        <v>0.79</v>
      </c>
      <c r="C31" s="15">
        <f>'WPI Score Card'!C31</f>
        <v>0.8</v>
      </c>
      <c r="D31" s="93" t="str">
        <f>+IF(E31="improving trend by",M$13,IF(E31="worsening trend by",L$13,N$13))</f>
        <v>§</v>
      </c>
      <c r="E31" s="10" t="str">
        <f t="shared" si="3"/>
        <v>no significant change</v>
      </c>
      <c r="F31" s="10">
        <f>+ABS(J31)</f>
        <v>1.2658227848101333E-2</v>
      </c>
      <c r="I31" s="31" t="s">
        <v>115</v>
      </c>
      <c r="J31" s="10">
        <f>+C31/B31-1</f>
        <v>1.2658227848101333E-2</v>
      </c>
      <c r="L31" s="10">
        <v>0.03</v>
      </c>
      <c r="M31" s="10">
        <f>-L31</f>
        <v>-0.03</v>
      </c>
      <c r="N31" s="10">
        <f>+L31</f>
        <v>0.03</v>
      </c>
      <c r="O31">
        <v>17</v>
      </c>
      <c r="P31" t="s">
        <v>67</v>
      </c>
      <c r="T31">
        <v>20</v>
      </c>
      <c r="U31" s="162" t="s">
        <v>68</v>
      </c>
      <c r="V31" s="49">
        <v>1</v>
      </c>
      <c r="W31" s="22">
        <f>1+J26</f>
        <v>0.91276864728192164</v>
      </c>
      <c r="X31" s="93" t="str">
        <f>D26</f>
        <v>ê</v>
      </c>
      <c r="Y31" s="10" t="str">
        <f>E26</f>
        <v>worsening trend by</v>
      </c>
      <c r="Z31" s="58">
        <f>F26</f>
        <v>8.7231352718078359E-2</v>
      </c>
    </row>
    <row r="32" spans="1:26">
      <c r="A32" s="180" t="s">
        <v>111</v>
      </c>
      <c r="B32" s="15">
        <f>+'WPI time series'!S34</f>
        <v>0.64</v>
      </c>
      <c r="C32" s="15">
        <f>'WPI Score Card'!C32</f>
        <v>0.63</v>
      </c>
      <c r="D32" s="93" t="str">
        <f t="shared" si="0"/>
        <v>§</v>
      </c>
      <c r="E32" s="10" t="str">
        <f t="shared" si="3"/>
        <v>no significant change</v>
      </c>
      <c r="F32" s="10">
        <f t="shared" si="1"/>
        <v>1.5625E-2</v>
      </c>
      <c r="I32" s="31" t="s">
        <v>115</v>
      </c>
      <c r="J32" s="10">
        <f t="shared" si="2"/>
        <v>-1.5625E-2</v>
      </c>
      <c r="L32" s="10">
        <v>0.03</v>
      </c>
      <c r="M32" s="10">
        <f>-L32</f>
        <v>-0.03</v>
      </c>
      <c r="N32" s="10">
        <f>+L32</f>
        <v>0.03</v>
      </c>
      <c r="O32">
        <v>18</v>
      </c>
      <c r="P32" t="s">
        <v>111</v>
      </c>
      <c r="T32">
        <v>21</v>
      </c>
      <c r="V32" s="49">
        <v>1</v>
      </c>
      <c r="W32">
        <v>0</v>
      </c>
      <c r="X32" s="93"/>
    </row>
    <row r="33" spans="1:26">
      <c r="A33" s="180" t="s">
        <v>35</v>
      </c>
      <c r="B33" s="15">
        <f>+'WPI time series'!S35</f>
        <v>0.4</v>
      </c>
      <c r="C33" s="15">
        <f>'WPI Score Card'!C33</f>
        <v>0.41</v>
      </c>
      <c r="D33" s="93" t="str">
        <f>+IF(E33="improving trend by",M$13,IF(E33="worsening trend by",L$13,N$13))</f>
        <v>§</v>
      </c>
      <c r="E33" s="10" t="str">
        <f t="shared" si="3"/>
        <v>no significant change</v>
      </c>
      <c r="F33" s="10">
        <f>+ABS(J33)</f>
        <v>2.4999999999999911E-2</v>
      </c>
      <c r="I33" s="31" t="s">
        <v>115</v>
      </c>
      <c r="J33" s="10">
        <f>+C33/B33-1</f>
        <v>2.4999999999999911E-2</v>
      </c>
      <c r="L33" s="10">
        <v>0.03</v>
      </c>
      <c r="M33" s="10">
        <f>-L33</f>
        <v>-0.03</v>
      </c>
      <c r="N33" s="10">
        <f>+L33</f>
        <v>0.03</v>
      </c>
      <c r="O33">
        <v>19</v>
      </c>
      <c r="P33" t="s">
        <v>35</v>
      </c>
      <c r="T33">
        <v>22</v>
      </c>
      <c r="U33" s="162" t="s">
        <v>65</v>
      </c>
      <c r="V33" s="49">
        <v>1</v>
      </c>
      <c r="W33" s="22">
        <f>1-J27</f>
        <v>0.89603960396039595</v>
      </c>
      <c r="X33" s="93" t="str">
        <f>D27</f>
        <v>ê</v>
      </c>
      <c r="Y33" s="10" t="str">
        <f>E27</f>
        <v>worsening trend by</v>
      </c>
      <c r="Z33" s="58">
        <f>F27</f>
        <v>0.10396039603960405</v>
      </c>
    </row>
    <row r="34" spans="1:26">
      <c r="A34" s="180" t="s">
        <v>70</v>
      </c>
      <c r="B34" s="13">
        <f>+'WPI time series'!S36</f>
        <v>8.3837132043734215</v>
      </c>
      <c r="C34" s="13">
        <f>'WPI Score Card'!C34</f>
        <v>6.4045905089934942</v>
      </c>
      <c r="D34" s="93" t="str">
        <f>+IF(E34="improving trend by",M$13,IF(E34="worsening trend by",L$13,N$13))</f>
        <v>ê</v>
      </c>
      <c r="E34" s="10" t="str">
        <f t="shared" si="3"/>
        <v>worsening trend by</v>
      </c>
      <c r="F34" s="10">
        <f>+ABS(J34)</f>
        <v>0.23606755707572447</v>
      </c>
      <c r="I34" s="31" t="s">
        <v>115</v>
      </c>
      <c r="J34" s="10">
        <f>+C34/B34-1</f>
        <v>-0.23606755707572447</v>
      </c>
      <c r="L34" s="10">
        <v>0.03</v>
      </c>
      <c r="M34" s="10">
        <f>-L34</f>
        <v>-0.03</v>
      </c>
      <c r="N34" s="10">
        <f>+L34</f>
        <v>0.03</v>
      </c>
      <c r="O34">
        <v>20</v>
      </c>
      <c r="P34" t="s">
        <v>70</v>
      </c>
      <c r="T34">
        <v>23</v>
      </c>
      <c r="V34" s="49">
        <v>1</v>
      </c>
      <c r="W34">
        <v>0</v>
      </c>
      <c r="X34" s="93"/>
    </row>
    <row r="35" spans="1:26">
      <c r="A35" s="180" t="s">
        <v>140</v>
      </c>
      <c r="B35" s="19">
        <f>+'WPI time series'!S37</f>
        <v>5851.5559293523966</v>
      </c>
      <c r="C35" s="19">
        <f>'WPI Score Card'!C35</f>
        <v>5480.7318022576874</v>
      </c>
      <c r="D35" s="93" t="str">
        <f t="shared" si="0"/>
        <v>é</v>
      </c>
      <c r="E35" s="10" t="str">
        <f>IF(J35&gt;N35,"worsening trend by",IF(J35&lt;M35,"improving trend by","no significant change"))</f>
        <v>improving trend by</v>
      </c>
      <c r="F35" s="10">
        <f t="shared" si="1"/>
        <v>6.3371884601596706E-2</v>
      </c>
      <c r="I35" s="32" t="s">
        <v>114</v>
      </c>
      <c r="J35" s="10">
        <f t="shared" si="2"/>
        <v>-6.3371884601596706E-2</v>
      </c>
      <c r="L35" s="66">
        <v>100</v>
      </c>
      <c r="M35" s="10">
        <f>-L35/C35</f>
        <v>-1.8245738636363636E-2</v>
      </c>
      <c r="N35" s="10">
        <f>+L35/C35</f>
        <v>1.8245738636363636E-2</v>
      </c>
      <c r="O35">
        <v>21</v>
      </c>
      <c r="P35" t="s">
        <v>140</v>
      </c>
      <c r="T35">
        <v>24</v>
      </c>
      <c r="U35" s="162" t="s">
        <v>159</v>
      </c>
      <c r="V35" s="49">
        <v>1</v>
      </c>
      <c r="W35" s="22">
        <f>1-J28</f>
        <v>1.0097959497193452</v>
      </c>
      <c r="X35" s="93" t="str">
        <f>D28</f>
        <v>§</v>
      </c>
      <c r="Y35" s="10" t="str">
        <f>E28</f>
        <v>no significant change</v>
      </c>
      <c r="Z35" s="58">
        <f>F28</f>
        <v>9.795949719345165E-3</v>
      </c>
    </row>
    <row r="36" spans="1:26">
      <c r="A36" s="180" t="s">
        <v>155</v>
      </c>
      <c r="B36" s="15">
        <f>+'WPI time series'!S38</f>
        <v>0.62</v>
      </c>
      <c r="C36" s="15">
        <f>'WPI Score Card'!C36</f>
        <v>0.56999999999999995</v>
      </c>
      <c r="D36" s="93" t="str">
        <f t="shared" si="0"/>
        <v>ê</v>
      </c>
      <c r="E36" s="10" t="str">
        <f t="shared" ref="E36:E38" si="4">IF(J36&lt;M36,"worsening trend by",IF(J36&gt;N36,"improving trend by","no significant change"))</f>
        <v>worsening trend by</v>
      </c>
      <c r="F36" s="10">
        <f t="shared" si="1"/>
        <v>8.064516129032262E-2</v>
      </c>
      <c r="I36" s="31" t="s">
        <v>115</v>
      </c>
      <c r="J36" s="10">
        <f t="shared" si="2"/>
        <v>-8.064516129032262E-2</v>
      </c>
      <c r="L36" s="10">
        <v>0.03</v>
      </c>
      <c r="M36" s="10">
        <f t="shared" ref="M36:M38" si="5">-L36</f>
        <v>-0.03</v>
      </c>
      <c r="N36" s="10">
        <f t="shared" ref="N36:N38" si="6">+L36</f>
        <v>0.03</v>
      </c>
      <c r="O36">
        <v>22</v>
      </c>
      <c r="P36" t="s">
        <v>155</v>
      </c>
      <c r="T36">
        <v>25</v>
      </c>
      <c r="V36" s="49">
        <v>1</v>
      </c>
      <c r="W36">
        <v>0</v>
      </c>
      <c r="X36" s="93"/>
    </row>
    <row r="37" spans="1:26">
      <c r="A37" s="180" t="s">
        <v>36</v>
      </c>
      <c r="B37" s="10">
        <f>+'WPI time series'!S39</f>
        <v>5.9000000000000004E-2</v>
      </c>
      <c r="C37" s="10">
        <f>'WPI Score Card'!C37</f>
        <v>5.9000000000000004E-2</v>
      </c>
      <c r="D37" s="93" t="str">
        <f t="shared" si="0"/>
        <v>§</v>
      </c>
      <c r="E37" s="10" t="str">
        <f t="shared" si="4"/>
        <v>no significant change</v>
      </c>
      <c r="F37" s="10">
        <f t="shared" si="1"/>
        <v>0</v>
      </c>
      <c r="I37" s="31" t="s">
        <v>115</v>
      </c>
      <c r="J37" s="10">
        <f t="shared" si="2"/>
        <v>0</v>
      </c>
      <c r="L37" s="10">
        <v>0.05</v>
      </c>
      <c r="M37" s="10">
        <f t="shared" si="5"/>
        <v>-0.05</v>
      </c>
      <c r="N37" s="10">
        <f t="shared" si="6"/>
        <v>0.05</v>
      </c>
      <c r="O37">
        <v>23</v>
      </c>
      <c r="P37" t="s">
        <v>36</v>
      </c>
      <c r="T37">
        <v>26</v>
      </c>
      <c r="U37" s="162" t="s">
        <v>69</v>
      </c>
      <c r="V37" s="49">
        <v>1</v>
      </c>
      <c r="W37" s="22">
        <f>1+J29</f>
        <v>1</v>
      </c>
      <c r="X37" s="93" t="str">
        <f>D29</f>
        <v>§</v>
      </c>
      <c r="Y37" s="10" t="str">
        <f>E29</f>
        <v>no significant change</v>
      </c>
      <c r="Z37" s="58">
        <f>F29</f>
        <v>0</v>
      </c>
    </row>
    <row r="38" spans="1:26">
      <c r="A38" s="180" t="s">
        <v>82</v>
      </c>
      <c r="B38" s="15">
        <f>+'WPI time series'!S40</f>
        <v>0.41557216524235907</v>
      </c>
      <c r="C38" s="15">
        <f>'WPI Score Card'!C38</f>
        <v>0.3801842428653176</v>
      </c>
      <c r="D38" s="93" t="str">
        <f t="shared" si="0"/>
        <v>§</v>
      </c>
      <c r="E38" s="10" t="str">
        <f t="shared" si="4"/>
        <v>no significant change</v>
      </c>
      <c r="F38" s="10">
        <f t="shared" si="1"/>
        <v>8.5154698357632896E-2</v>
      </c>
      <c r="I38" s="31" t="s">
        <v>115</v>
      </c>
      <c r="J38" s="10">
        <f t="shared" si="2"/>
        <v>-8.5154698357632896E-2</v>
      </c>
      <c r="L38" s="10">
        <v>0.1</v>
      </c>
      <c r="M38" s="10">
        <f t="shared" si="5"/>
        <v>-0.1</v>
      </c>
      <c r="N38" s="10">
        <f t="shared" si="6"/>
        <v>0.1</v>
      </c>
      <c r="O38">
        <v>24</v>
      </c>
      <c r="P38" t="s">
        <v>82</v>
      </c>
      <c r="T38">
        <v>27</v>
      </c>
      <c r="U38" s="162"/>
      <c r="V38" s="49">
        <v>1</v>
      </c>
      <c r="W38">
        <v>0</v>
      </c>
      <c r="X38" s="93"/>
      <c r="Z38" s="58"/>
    </row>
    <row r="39" spans="1:26" ht="13.15">
      <c r="A39" s="181" t="s">
        <v>33</v>
      </c>
      <c r="B39" s="61"/>
      <c r="C39" s="61"/>
      <c r="D39" s="93"/>
      <c r="E39" s="10"/>
      <c r="F39" s="10"/>
      <c r="I39" s="61"/>
      <c r="J39" s="10"/>
      <c r="L39" s="10"/>
      <c r="M39" s="10"/>
      <c r="N39" s="10"/>
      <c r="O39">
        <v>25</v>
      </c>
      <c r="P39" s="2" t="s">
        <v>33</v>
      </c>
      <c r="T39">
        <v>28</v>
      </c>
      <c r="U39" s="162" t="s">
        <v>154</v>
      </c>
      <c r="V39" s="49">
        <v>1</v>
      </c>
      <c r="W39" s="22">
        <f>1+J30</f>
        <v>0.9885057471264368</v>
      </c>
      <c r="X39" s="93" t="str">
        <f>D30</f>
        <v>§</v>
      </c>
      <c r="Y39" s="10" t="str">
        <f>E30</f>
        <v>no significant change</v>
      </c>
      <c r="Z39" s="58">
        <f>F30</f>
        <v>1.1494252873563204E-2</v>
      </c>
    </row>
    <row r="40" spans="1:26">
      <c r="A40" s="182" t="s">
        <v>18</v>
      </c>
      <c r="B40" s="14">
        <f>+'WPI time series'!R41</f>
        <v>12</v>
      </c>
      <c r="C40">
        <f>'WPI Score Card'!C40</f>
        <v>18</v>
      </c>
      <c r="D40" s="93" t="str">
        <f>+IF(E40="improving trend by",M$13,IF(E40="worsening trend by",L$13,N$13))</f>
        <v>ê</v>
      </c>
      <c r="E40" s="10" t="str">
        <f>IF(J40&gt;N40,"worsening trend by",IF(J40&lt;M40,"improving trend by","no significant change"))</f>
        <v>worsening trend by</v>
      </c>
      <c r="F40" s="10">
        <f>+ABS(J40)</f>
        <v>0.5</v>
      </c>
      <c r="I40" s="32" t="s">
        <v>114</v>
      </c>
      <c r="J40" s="10">
        <f>+C40/B40-1</f>
        <v>0.5</v>
      </c>
      <c r="L40" s="15">
        <v>0.03</v>
      </c>
      <c r="M40" s="10">
        <f>-L40</f>
        <v>-0.03</v>
      </c>
      <c r="N40" s="10">
        <f>+L40</f>
        <v>0.03</v>
      </c>
      <c r="O40">
        <v>26</v>
      </c>
      <c r="P40" t="s">
        <v>18</v>
      </c>
      <c r="T40">
        <v>29</v>
      </c>
      <c r="V40" s="49">
        <v>1</v>
      </c>
      <c r="W40">
        <v>0</v>
      </c>
      <c r="X40" s="93"/>
    </row>
    <row r="41" spans="1:26">
      <c r="A41" s="183" t="s">
        <v>360</v>
      </c>
      <c r="B41" s="161">
        <f>+'WPI time series'!S42</f>
        <v>0.39433333333333331</v>
      </c>
      <c r="C41" s="161">
        <f>'WPI Score Card'!C41</f>
        <v>0.38586419462613525</v>
      </c>
      <c r="D41" s="93" t="str">
        <f>+IF(E41="improving trend by",M$13,IF(E41="worsening trend by",L$13,N$13))</f>
        <v>§</v>
      </c>
      <c r="E41" s="10" t="str">
        <f>IF(J41&lt;M41,"worsening trend by",IF(J41&gt;N41,"improving trend by","no significant change"))</f>
        <v>no significant change</v>
      </c>
      <c r="F41" s="10">
        <f>+ABS(J41)</f>
        <v>2.1477105766351867E-2</v>
      </c>
      <c r="I41" s="31" t="s">
        <v>115</v>
      </c>
      <c r="J41" s="10">
        <f>+C41/B41-1</f>
        <v>-2.1477105766351867E-2</v>
      </c>
      <c r="L41" s="161">
        <v>0.05</v>
      </c>
      <c r="M41" s="10">
        <f>-L41/C41</f>
        <v>-0.12957926829268293</v>
      </c>
      <c r="N41" s="10">
        <f>+L41/C41</f>
        <v>0.12957926829268293</v>
      </c>
      <c r="O41">
        <v>27</v>
      </c>
      <c r="P41" s="14" t="s">
        <v>360</v>
      </c>
      <c r="T41">
        <v>30</v>
      </c>
      <c r="U41" s="162" t="s">
        <v>67</v>
      </c>
      <c r="V41" s="49">
        <v>1</v>
      </c>
      <c r="W41" s="22">
        <f>1+J31</f>
        <v>1.0126582278481013</v>
      </c>
      <c r="X41" s="93" t="str">
        <f>D31</f>
        <v>§</v>
      </c>
      <c r="Y41" s="10" t="str">
        <f>E31</f>
        <v>no significant change</v>
      </c>
      <c r="Z41" s="58">
        <f>F31</f>
        <v>1.2658227848101333E-2</v>
      </c>
    </row>
    <row r="42" spans="1:26">
      <c r="A42" s="182" t="s">
        <v>129</v>
      </c>
      <c r="B42" s="15">
        <f>+'WPI time series'!S43</f>
        <v>0.87333333333333341</v>
      </c>
      <c r="C42" s="15">
        <f>'WPI Score Card'!C42</f>
        <v>0.83</v>
      </c>
      <c r="D42" s="93" t="str">
        <f t="shared" ref="D42:D49" si="7">+IF(E42="improving trend by",M$13,IF(E42="worsening trend by",L$13,N$13))</f>
        <v>§</v>
      </c>
      <c r="E42" s="10" t="str">
        <f>IF(J42&lt;M42,"worsening trend by",IF(J42&gt;N42,"improving trend by","no significant change"))</f>
        <v>no significant change</v>
      </c>
      <c r="F42" s="10">
        <f t="shared" ref="F42:F49" si="8">+ABS(J42)</f>
        <v>4.9618320610687161E-2</v>
      </c>
      <c r="I42" s="31" t="s">
        <v>115</v>
      </c>
      <c r="J42" s="10">
        <f t="shared" ref="J42:J49" si="9">+C42/B42-1</f>
        <v>-4.9618320610687161E-2</v>
      </c>
      <c r="L42" s="15">
        <v>0.05</v>
      </c>
      <c r="M42" s="10">
        <f>-L42</f>
        <v>-0.05</v>
      </c>
      <c r="N42" s="10">
        <f>+L42</f>
        <v>0.05</v>
      </c>
      <c r="O42">
        <v>28</v>
      </c>
      <c r="P42" t="s">
        <v>129</v>
      </c>
      <c r="T42">
        <v>31</v>
      </c>
      <c r="V42" s="49">
        <v>1</v>
      </c>
      <c r="W42">
        <v>0</v>
      </c>
      <c r="X42" s="93"/>
    </row>
    <row r="43" spans="1:26">
      <c r="A43" s="182" t="s">
        <v>80</v>
      </c>
      <c r="B43" s="9">
        <f>+'WPI time series'!S44</f>
        <v>14.628</v>
      </c>
      <c r="C43" s="59">
        <f>'WPI Score Card'!C43</f>
        <v>13.58</v>
      </c>
      <c r="D43" s="93" t="str">
        <f>+IF(E43="improving trend by",M$13,IF(E43="worsening trend by",L$13,N$13))</f>
        <v>§</v>
      </c>
      <c r="E43" s="10" t="str">
        <f>IF(J43&gt;N43,"worsening trend by",IF(J43&lt;M43,"improving trend by","no significant change"))</f>
        <v>no significant change</v>
      </c>
      <c r="F43" s="10">
        <f>+ABS(J43)</f>
        <v>7.1643423571233211E-2</v>
      </c>
      <c r="I43" s="32" t="s">
        <v>114</v>
      </c>
      <c r="J43" s="10">
        <f>+C43/B43-1</f>
        <v>-7.1643423571233211E-2</v>
      </c>
      <c r="L43" s="9">
        <f>+N43*B43</f>
        <v>1.4628000000000001</v>
      </c>
      <c r="M43" s="10">
        <v>-0.1</v>
      </c>
      <c r="N43" s="10">
        <v>0.1</v>
      </c>
      <c r="O43">
        <v>29</v>
      </c>
      <c r="P43" t="s">
        <v>80</v>
      </c>
      <c r="T43">
        <v>32</v>
      </c>
      <c r="U43" s="162" t="s">
        <v>111</v>
      </c>
      <c r="V43" s="49">
        <v>1</v>
      </c>
      <c r="W43" s="22">
        <f>1+J32</f>
        <v>0.984375</v>
      </c>
      <c r="X43" s="93" t="str">
        <f>D32</f>
        <v>§</v>
      </c>
      <c r="Y43" s="10" t="str">
        <f>E32</f>
        <v>no significant change</v>
      </c>
      <c r="Z43" s="58">
        <f>F32</f>
        <v>1.5625E-2</v>
      </c>
    </row>
    <row r="44" spans="1:26">
      <c r="A44" s="183" t="s">
        <v>278</v>
      </c>
      <c r="B44" s="10">
        <f>+'WPI time series'!S45</f>
        <v>0.27076231996670491</v>
      </c>
      <c r="C44" s="10">
        <f>'WPI Score Card'!C44</f>
        <v>0.27076231996670491</v>
      </c>
      <c r="D44" s="93" t="str">
        <f>+IF(E44="improving trend by",M$13,IF(E44="worsening trend by",L$13,N$13))</f>
        <v>§</v>
      </c>
      <c r="E44" s="10" t="str">
        <f>IF(J44&lt;M44,"worsening trend by",IF(J44&gt;N44,"improving trend by","no significant change"))</f>
        <v>no significant change</v>
      </c>
      <c r="F44" s="10">
        <f>+ABS(J44)</f>
        <v>0</v>
      </c>
      <c r="I44" s="31" t="s">
        <v>115</v>
      </c>
      <c r="J44" s="10">
        <f>+C44/B44-1</f>
        <v>0</v>
      </c>
      <c r="L44" s="10">
        <v>0.01</v>
      </c>
      <c r="M44" s="10">
        <f>-L44</f>
        <v>-0.01</v>
      </c>
      <c r="N44" s="10">
        <f>+L44</f>
        <v>0.01</v>
      </c>
      <c r="O44">
        <v>30</v>
      </c>
      <c r="P44" s="14" t="s">
        <v>278</v>
      </c>
      <c r="T44">
        <v>33</v>
      </c>
      <c r="V44" s="49">
        <v>1</v>
      </c>
      <c r="W44">
        <v>0</v>
      </c>
      <c r="X44" s="93"/>
    </row>
    <row r="45" spans="1:26">
      <c r="A45" s="182" t="s">
        <v>72</v>
      </c>
      <c r="B45" s="10">
        <f>+'WPI time series'!S46</f>
        <v>0.70299999999999996</v>
      </c>
      <c r="C45" s="10">
        <f>'WPI Score Card'!C45</f>
        <v>0.70299999999999996</v>
      </c>
      <c r="D45" s="93" t="str">
        <f>+IF(E45="improving trend by",M$13,IF(E45="worsening trend by",L$13,N$13))</f>
        <v>§</v>
      </c>
      <c r="E45" s="10" t="str">
        <f>IF(J45&lt;M45,"worsening trend by",IF(J45&gt;N45,"improving trend by","no significant change"))</f>
        <v>no significant change</v>
      </c>
      <c r="F45" s="10">
        <f>+ABS(J45)</f>
        <v>0</v>
      </c>
      <c r="I45" s="31" t="s">
        <v>115</v>
      </c>
      <c r="J45" s="10">
        <f>+C45/B45-1</f>
        <v>0</v>
      </c>
      <c r="L45" s="10">
        <v>0.03</v>
      </c>
      <c r="M45" s="10">
        <f>-L45</f>
        <v>-0.03</v>
      </c>
      <c r="N45" s="10">
        <f>+L45</f>
        <v>0.03</v>
      </c>
      <c r="O45">
        <v>31</v>
      </c>
      <c r="P45" t="s">
        <v>72</v>
      </c>
      <c r="T45">
        <v>34</v>
      </c>
      <c r="U45" s="162" t="s">
        <v>35</v>
      </c>
      <c r="V45" s="49">
        <v>1</v>
      </c>
      <c r="W45" s="22">
        <f>1+J33</f>
        <v>1.0249999999999999</v>
      </c>
      <c r="X45" s="93" t="str">
        <f>D33</f>
        <v>§</v>
      </c>
      <c r="Y45" s="10" t="str">
        <f>E33</f>
        <v>no significant change</v>
      </c>
      <c r="Z45" s="58">
        <f>F33</f>
        <v>2.4999999999999911E-2</v>
      </c>
    </row>
    <row r="46" spans="1:26">
      <c r="A46" s="199" t="s">
        <v>354</v>
      </c>
      <c r="B46" s="9">
        <f>+'WPI time series'!S47</f>
        <v>19147.857142857152</v>
      </c>
      <c r="C46" s="9">
        <f>'WPI Score Card'!C46</f>
        <v>19510</v>
      </c>
      <c r="D46" s="93" t="str">
        <f>+IF(E46="improving trend by",M$13,IF(E46="worsening trend by",L$13,N$13))</f>
        <v>§</v>
      </c>
      <c r="E46" s="10" t="str">
        <f>IF(J46&gt;N46,"worsening trend by",IF(J46&lt;M46,"improving trend by","no significant change"))</f>
        <v>no significant change</v>
      </c>
      <c r="F46" s="10">
        <f>+ABS(J46)</f>
        <v>1.8912970492781289E-2</v>
      </c>
      <c r="I46" s="32" t="s">
        <v>114</v>
      </c>
      <c r="J46" s="10">
        <f>+C46/B46-1</f>
        <v>1.8912970492781289E-2</v>
      </c>
      <c r="L46" s="9">
        <v>500</v>
      </c>
      <c r="M46" s="10">
        <f>-L46/C46</f>
        <v>-2.5627883136852898E-2</v>
      </c>
      <c r="N46" s="10">
        <f>+L46/C46</f>
        <v>2.5627883136852898E-2</v>
      </c>
      <c r="O46">
        <v>32</v>
      </c>
      <c r="P46" s="14" t="s">
        <v>354</v>
      </c>
      <c r="T46">
        <v>35</v>
      </c>
      <c r="V46" s="49">
        <v>1</v>
      </c>
      <c r="W46">
        <v>0</v>
      </c>
      <c r="X46" s="93"/>
    </row>
    <row r="47" spans="1:26">
      <c r="A47" s="182" t="s">
        <v>41</v>
      </c>
      <c r="B47" s="15">
        <f>+'WPI time series'!S48</f>
        <v>0.28999999999999998</v>
      </c>
      <c r="C47" s="15">
        <f>'WPI Score Card'!C47</f>
        <v>0.28999999999999998</v>
      </c>
      <c r="D47" s="93" t="str">
        <f t="shared" si="7"/>
        <v>§</v>
      </c>
      <c r="E47" s="10" t="str">
        <f>IF(J47&gt;N47,"worsening trend by",IF(J47&lt;M47,"improving trend by","no significant change"))</f>
        <v>no significant change</v>
      </c>
      <c r="F47" s="10">
        <f t="shared" si="8"/>
        <v>0</v>
      </c>
      <c r="I47" s="32" t="s">
        <v>114</v>
      </c>
      <c r="J47" s="10">
        <f t="shared" si="9"/>
        <v>0</v>
      </c>
      <c r="L47" s="10">
        <v>0.05</v>
      </c>
      <c r="M47" s="10">
        <f>-L47</f>
        <v>-0.05</v>
      </c>
      <c r="N47" s="10">
        <f>+L47</f>
        <v>0.05</v>
      </c>
      <c r="O47">
        <v>33</v>
      </c>
      <c r="P47" t="s">
        <v>41</v>
      </c>
      <c r="T47">
        <v>36</v>
      </c>
      <c r="U47" s="162" t="s">
        <v>70</v>
      </c>
      <c r="V47" s="49">
        <v>1</v>
      </c>
      <c r="W47" s="22">
        <f>1+J34</f>
        <v>0.76393244292427553</v>
      </c>
      <c r="X47" s="93" t="str">
        <f>D34</f>
        <v>ê</v>
      </c>
      <c r="Y47" s="10" t="str">
        <f>E34</f>
        <v>worsening trend by</v>
      </c>
      <c r="Z47" s="58">
        <f>F34</f>
        <v>0.23606755707572447</v>
      </c>
    </row>
    <row r="48" spans="1:26">
      <c r="A48" s="182" t="s">
        <v>162</v>
      </c>
      <c r="B48" s="15">
        <f>+'WPI time series'!S49</f>
        <v>0.82187916890851054</v>
      </c>
      <c r="C48" s="15">
        <f>'WPI Score Card'!C48</f>
        <v>0.84288383628102481</v>
      </c>
      <c r="D48" s="93" t="str">
        <f t="shared" si="7"/>
        <v>§</v>
      </c>
      <c r="E48" s="10" t="str">
        <f>IF(J48&lt;M48,"worsening trend by",IF(J48&gt;N48,"improving trend by","no significant change"))</f>
        <v>no significant change</v>
      </c>
      <c r="F48" s="10">
        <f t="shared" si="8"/>
        <v>2.5556880095171763E-2</v>
      </c>
      <c r="I48" s="31" t="s">
        <v>115</v>
      </c>
      <c r="J48" s="10">
        <f t="shared" si="9"/>
        <v>2.5556880095171763E-2</v>
      </c>
      <c r="L48" s="15">
        <v>0.05</v>
      </c>
      <c r="M48" s="10">
        <f>-L48</f>
        <v>-0.05</v>
      </c>
      <c r="N48" s="10">
        <f>+L48</f>
        <v>0.05</v>
      </c>
      <c r="O48">
        <v>34</v>
      </c>
      <c r="P48" t="s">
        <v>162</v>
      </c>
      <c r="T48">
        <v>37</v>
      </c>
      <c r="V48" s="49">
        <v>1</v>
      </c>
      <c r="W48">
        <v>0</v>
      </c>
      <c r="X48" s="93"/>
    </row>
    <row r="49" spans="1:26">
      <c r="A49" s="182" t="s">
        <v>166</v>
      </c>
      <c r="B49" s="9">
        <f>+'WPI time series'!S50</f>
        <v>250122.33333333334</v>
      </c>
      <c r="C49" s="9">
        <f>'WPI Score Card'!C49</f>
        <v>308885</v>
      </c>
      <c r="D49" s="93" t="str">
        <f t="shared" si="7"/>
        <v>ê</v>
      </c>
      <c r="E49" s="10" t="str">
        <f>IF(J49&gt;N49,"worsening trend by",IF(J49&lt;M49,"improving trend by","no significant change"))</f>
        <v>worsening trend by</v>
      </c>
      <c r="F49" s="10">
        <f t="shared" si="8"/>
        <v>0.23493570479512016</v>
      </c>
      <c r="I49" s="32" t="s">
        <v>114</v>
      </c>
      <c r="J49" s="10">
        <f t="shared" si="9"/>
        <v>0.23493570479512016</v>
      </c>
      <c r="L49" s="9">
        <v>20000</v>
      </c>
      <c r="M49" s="10">
        <f>-L49/C49</f>
        <v>-6.4749016624310013E-2</v>
      </c>
      <c r="N49" s="10">
        <f>+L49/C49</f>
        <v>6.4749016624310013E-2</v>
      </c>
      <c r="O49">
        <v>35</v>
      </c>
      <c r="P49" t="s">
        <v>166</v>
      </c>
      <c r="T49">
        <v>38</v>
      </c>
      <c r="U49" s="162" t="s">
        <v>140</v>
      </c>
      <c r="V49" s="49">
        <v>1</v>
      </c>
      <c r="W49" s="22">
        <f>1-J35</f>
        <v>1.0633718846015967</v>
      </c>
      <c r="X49" s="93" t="str">
        <f>D35</f>
        <v>é</v>
      </c>
      <c r="Y49" s="10" t="str">
        <f>E35</f>
        <v>improving trend by</v>
      </c>
      <c r="Z49" s="58">
        <f>F35</f>
        <v>6.3371884601596706E-2</v>
      </c>
    </row>
    <row r="50" spans="1:26">
      <c r="T50">
        <v>39</v>
      </c>
      <c r="V50" s="49">
        <v>1</v>
      </c>
      <c r="W50">
        <v>0</v>
      </c>
      <c r="X50" s="93"/>
    </row>
    <row r="51" spans="1:26">
      <c r="T51">
        <v>40</v>
      </c>
      <c r="U51" s="162" t="s">
        <v>155</v>
      </c>
      <c r="V51" s="49">
        <v>1</v>
      </c>
      <c r="W51" s="22">
        <f>1+J36</f>
        <v>0.91935483870967738</v>
      </c>
      <c r="X51" s="93" t="str">
        <f>D36</f>
        <v>ê</v>
      </c>
      <c r="Y51" s="10" t="str">
        <f>E36</f>
        <v>worsening trend by</v>
      </c>
      <c r="Z51" s="58">
        <f>F36</f>
        <v>8.064516129032262E-2</v>
      </c>
    </row>
    <row r="52" spans="1:26">
      <c r="T52">
        <v>41</v>
      </c>
      <c r="V52" s="49">
        <v>1</v>
      </c>
      <c r="W52">
        <v>0</v>
      </c>
      <c r="X52" s="93"/>
    </row>
    <row r="53" spans="1:26">
      <c r="T53">
        <v>42</v>
      </c>
      <c r="U53" s="162" t="s">
        <v>36</v>
      </c>
      <c r="V53" s="49">
        <v>1</v>
      </c>
      <c r="W53" s="22">
        <f>1+J37</f>
        <v>1</v>
      </c>
      <c r="X53" s="93" t="str">
        <f>D37</f>
        <v>§</v>
      </c>
      <c r="Y53" s="10" t="str">
        <f>E37</f>
        <v>no significant change</v>
      </c>
      <c r="Z53" s="58">
        <f>F37</f>
        <v>0</v>
      </c>
    </row>
    <row r="54" spans="1:26">
      <c r="T54">
        <v>43</v>
      </c>
      <c r="V54" s="49">
        <v>1</v>
      </c>
      <c r="W54">
        <v>0</v>
      </c>
      <c r="X54" s="93"/>
    </row>
    <row r="55" spans="1:26">
      <c r="T55">
        <v>44</v>
      </c>
      <c r="U55" s="162" t="s">
        <v>82</v>
      </c>
      <c r="V55" s="49">
        <v>1</v>
      </c>
      <c r="W55" s="22">
        <f>1+J38</f>
        <v>0.9148453016423671</v>
      </c>
      <c r="X55" s="93" t="str">
        <f>D38</f>
        <v>§</v>
      </c>
      <c r="Y55" s="10" t="str">
        <f>E38</f>
        <v>no significant change</v>
      </c>
      <c r="Z55" s="58">
        <f>F38</f>
        <v>8.5154698357632896E-2</v>
      </c>
    </row>
    <row r="56" spans="1:26">
      <c r="T56">
        <v>45</v>
      </c>
      <c r="V56" s="49">
        <v>1</v>
      </c>
      <c r="W56">
        <v>0</v>
      </c>
      <c r="X56" s="93"/>
    </row>
    <row r="57" spans="1:26">
      <c r="T57">
        <v>46</v>
      </c>
      <c r="U57" s="162" t="s">
        <v>18</v>
      </c>
      <c r="V57" s="49">
        <v>1</v>
      </c>
      <c r="W57" s="22">
        <f>1-J40</f>
        <v>0.5</v>
      </c>
      <c r="X57" s="93" t="str">
        <f>D40</f>
        <v>ê</v>
      </c>
      <c r="Y57" s="10" t="str">
        <f>E40</f>
        <v>worsening trend by</v>
      </c>
      <c r="Z57" s="58">
        <f>F40</f>
        <v>0.5</v>
      </c>
    </row>
    <row r="58" spans="1:26">
      <c r="T58">
        <v>47</v>
      </c>
      <c r="V58" s="49">
        <v>1</v>
      </c>
      <c r="W58">
        <v>0</v>
      </c>
      <c r="X58" s="93"/>
    </row>
    <row r="59" spans="1:26">
      <c r="T59">
        <v>48</v>
      </c>
      <c r="U59" s="162" t="s">
        <v>360</v>
      </c>
      <c r="V59" s="49">
        <v>1</v>
      </c>
      <c r="W59" s="22">
        <f>1+J41</f>
        <v>0.97852289423364813</v>
      </c>
      <c r="X59" s="93" t="str">
        <f>D41</f>
        <v>§</v>
      </c>
      <c r="Y59" t="str">
        <f>+'WPI Score Card'!E41</f>
        <v>no significant change</v>
      </c>
      <c r="Z59" s="58">
        <f>F41</f>
        <v>2.1477105766351867E-2</v>
      </c>
    </row>
    <row r="60" spans="1:26">
      <c r="T60">
        <v>49</v>
      </c>
      <c r="V60" s="49">
        <v>1</v>
      </c>
      <c r="W60">
        <v>0</v>
      </c>
      <c r="X60" s="93"/>
    </row>
    <row r="61" spans="1:26">
      <c r="T61">
        <v>50</v>
      </c>
      <c r="U61" s="162" t="s">
        <v>129</v>
      </c>
      <c r="V61" s="49">
        <v>1</v>
      </c>
      <c r="W61" s="22">
        <f>1+J42</f>
        <v>0.95038167938931284</v>
      </c>
      <c r="X61" s="93" t="str">
        <f>D42</f>
        <v>§</v>
      </c>
      <c r="Y61" t="str">
        <f>+'WPI Score Card'!E42</f>
        <v>no significant change</v>
      </c>
      <c r="Z61" s="58">
        <f>F42</f>
        <v>4.9618320610687161E-2</v>
      </c>
    </row>
    <row r="62" spans="1:26">
      <c r="T62">
        <v>51</v>
      </c>
      <c r="V62" s="49">
        <v>1</v>
      </c>
      <c r="W62">
        <v>0</v>
      </c>
      <c r="X62" s="93"/>
    </row>
    <row r="63" spans="1:26">
      <c r="T63">
        <v>52</v>
      </c>
      <c r="U63" s="162" t="s">
        <v>80</v>
      </c>
      <c r="V63" s="49">
        <v>1</v>
      </c>
      <c r="W63" s="22">
        <f>1-J43</f>
        <v>1.0716434235712331</v>
      </c>
      <c r="X63" s="93" t="str">
        <f>D43</f>
        <v>§</v>
      </c>
      <c r="Y63" t="str">
        <f>+'WPI Score Card'!E43</f>
        <v>no significant change</v>
      </c>
      <c r="Z63" s="58">
        <f>F43</f>
        <v>7.1643423571233211E-2</v>
      </c>
    </row>
    <row r="64" spans="1:26">
      <c r="T64">
        <v>53</v>
      </c>
      <c r="V64" s="49">
        <v>1</v>
      </c>
      <c r="W64">
        <v>0</v>
      </c>
      <c r="X64" s="93"/>
    </row>
    <row r="65" spans="20:26">
      <c r="T65">
        <v>54</v>
      </c>
      <c r="U65" s="162" t="s">
        <v>278</v>
      </c>
      <c r="V65" s="49">
        <v>1</v>
      </c>
      <c r="W65" s="22">
        <f>1+J44</f>
        <v>1</v>
      </c>
      <c r="X65" s="93" t="str">
        <f>D44</f>
        <v>§</v>
      </c>
      <c r="Y65" t="str">
        <f>+'WPI Score Card'!E44</f>
        <v>no significant change</v>
      </c>
      <c r="Z65" s="58">
        <f>F44</f>
        <v>0</v>
      </c>
    </row>
    <row r="66" spans="20:26">
      <c r="T66">
        <v>55</v>
      </c>
      <c r="V66" s="49">
        <v>1</v>
      </c>
      <c r="W66">
        <v>0</v>
      </c>
      <c r="X66" s="93"/>
    </row>
    <row r="67" spans="20:26">
      <c r="T67">
        <v>56</v>
      </c>
      <c r="U67" s="162" t="s">
        <v>72</v>
      </c>
      <c r="V67" s="49">
        <v>1</v>
      </c>
      <c r="W67" s="22">
        <f>1+J45</f>
        <v>1</v>
      </c>
      <c r="X67" s="93" t="str">
        <f>D45</f>
        <v>§</v>
      </c>
      <c r="Y67" t="str">
        <f>+'WPI Score Card'!E45</f>
        <v>improving trend by</v>
      </c>
      <c r="Z67" s="58">
        <f>F45</f>
        <v>0</v>
      </c>
    </row>
    <row r="68" spans="20:26">
      <c r="T68">
        <v>57</v>
      </c>
      <c r="V68" s="49">
        <v>1</v>
      </c>
      <c r="W68">
        <v>0</v>
      </c>
      <c r="X68" s="93"/>
    </row>
    <row r="69" spans="20:26">
      <c r="T69">
        <v>58</v>
      </c>
      <c r="U69" s="162" t="s">
        <v>498</v>
      </c>
      <c r="V69" s="49">
        <v>1</v>
      </c>
      <c r="W69" s="22">
        <f>1-J46</f>
        <v>0.98108702950721871</v>
      </c>
      <c r="X69" s="93" t="str">
        <f>D46</f>
        <v>§</v>
      </c>
      <c r="Y69" t="str">
        <f>+'WPI Score Card'!E46</f>
        <v>worsening trend by</v>
      </c>
      <c r="Z69" s="58">
        <f>F46</f>
        <v>1.8912970492781289E-2</v>
      </c>
    </row>
    <row r="70" spans="20:26">
      <c r="T70">
        <v>59</v>
      </c>
      <c r="V70" s="49">
        <v>1</v>
      </c>
      <c r="W70">
        <v>0</v>
      </c>
      <c r="X70" s="93"/>
    </row>
    <row r="71" spans="20:26">
      <c r="T71">
        <v>60</v>
      </c>
      <c r="U71" s="162" t="s">
        <v>41</v>
      </c>
      <c r="V71" s="49">
        <v>1</v>
      </c>
      <c r="W71" s="22">
        <f>1-J47</f>
        <v>1</v>
      </c>
      <c r="X71" s="93" t="str">
        <f>D47</f>
        <v>§</v>
      </c>
      <c r="Y71" t="str">
        <f>+'WPI Score Card'!E47</f>
        <v>no significant change</v>
      </c>
      <c r="Z71" s="58">
        <f>F47</f>
        <v>0</v>
      </c>
    </row>
    <row r="72" spans="20:26">
      <c r="T72">
        <v>61</v>
      </c>
      <c r="V72" s="49">
        <v>1</v>
      </c>
      <c r="W72">
        <v>0</v>
      </c>
      <c r="X72" s="93"/>
    </row>
    <row r="73" spans="20:26">
      <c r="T73">
        <v>62</v>
      </c>
      <c r="U73" s="162" t="s">
        <v>162</v>
      </c>
      <c r="V73" s="49">
        <v>1</v>
      </c>
      <c r="W73" s="22">
        <f>1+J48</f>
        <v>1.0255568800951718</v>
      </c>
      <c r="X73" s="93" t="str">
        <f>D48</f>
        <v>§</v>
      </c>
      <c r="Y73" t="str">
        <f>+'WPI Score Card'!E48</f>
        <v>no significant change</v>
      </c>
      <c r="Z73" s="58">
        <f>F48</f>
        <v>2.5556880095171763E-2</v>
      </c>
    </row>
    <row r="74" spans="20:26">
      <c r="T74">
        <v>63</v>
      </c>
      <c r="V74" s="49">
        <v>1</v>
      </c>
      <c r="W74">
        <v>0</v>
      </c>
      <c r="X74" s="93"/>
    </row>
    <row r="75" spans="20:26">
      <c r="T75">
        <v>64</v>
      </c>
      <c r="U75" s="162" t="s">
        <v>166</v>
      </c>
      <c r="V75" s="49">
        <v>1</v>
      </c>
      <c r="W75" s="22">
        <f>1-J49</f>
        <v>0.76506429520487984</v>
      </c>
      <c r="X75" s="93" t="str">
        <f>D49</f>
        <v>ê</v>
      </c>
      <c r="Y75" t="str">
        <f>+'WPI Score Card'!E49</f>
        <v>worsening trend by</v>
      </c>
      <c r="Z75" s="58">
        <f>F49</f>
        <v>0.23493570479512016</v>
      </c>
    </row>
    <row r="76" spans="20:26">
      <c r="T76">
        <v>65</v>
      </c>
      <c r="V76" s="49">
        <v>1</v>
      </c>
      <c r="W76">
        <v>0</v>
      </c>
    </row>
  </sheetData>
  <hyperlinks>
    <hyperlink ref="U1" location="Index!A1" display="Return to Index" xr:uid="{70546BA3-8B66-4DFB-8348-66CDA95605E9}"/>
    <hyperlink ref="U9" location="'A. WPI time series'!A1" display="WPI time series graph" xr:uid="{1B5BAC63-EDE3-4D4E-9216-E8257F1D65E4}"/>
    <hyperlink ref="U31" location="'Educational attainment'!A1" display="Educational attainment" xr:uid="{8E0EC049-643E-4006-ABE8-1F7DA1551B07}"/>
    <hyperlink ref="U33" location="'Housing affordability'!A1" display="Housing affordability" xr:uid="{DFD12BFA-7016-40B2-A0E2-F08523D8112C}"/>
    <hyperlink ref="U43" location="'Perceptions of safety'!A1" display="Perceptions of safety" xr:uid="{703F5068-7EF8-43E9-9817-05C121D9C73E}"/>
    <hyperlink ref="U27" location="Crime!A1" display="Crime" xr:uid="{8DE12BE8-8A6F-45EB-BB5D-896A0A688D42}"/>
    <hyperlink ref="U49" location="'Road safety'!A1" display="Road safety" xr:uid="{BC4B74DA-976C-4DF1-A269-04BDBA7F48B0}"/>
    <hyperlink ref="U37" location="'Life expectancy'!A1" display="Life expectancy" xr:uid="{4621006E-CF34-4BB1-B277-1D8AEA4AD753}"/>
    <hyperlink ref="U41" location="'Perceived health'!A1" display="Perceived health" xr:uid="{099575E8-CD4A-467E-A3DD-2E40580DEECF}"/>
    <hyperlink ref="U51" location="'Social connectedness'!A1" display="Social connectedness" xr:uid="{F83529BF-85B2-4CF5-86C9-64529412367F}"/>
    <hyperlink ref="U25" location="'Community pride'!A1" display="Community pride" xr:uid="{17C6B2E2-2888-4BA9-A18D-E321C1D1EB19}"/>
    <hyperlink ref="U45" location="'Physical activity'!A1" display="Physical activity" xr:uid="{E49898F7-FBFB-4E27-B31C-110B4F5BED73}"/>
    <hyperlink ref="U29" location="'Cultural respect'!A1" display="Cultural respect" xr:uid="{008FE074-25C0-40D4-B3ED-8196C1173484}"/>
    <hyperlink ref="U53" location="'Te Reo Māori speakers'!A1" display="Te Reo Māori speakers" xr:uid="{D59A57F3-3A02-4599-96CE-718F1E9C60F1}"/>
    <hyperlink ref="U55" location="'Voter turnout'!A1" display="Voter turnout" xr:uid="{DF70F6E0-EC61-467F-9B61-6A8576802924}"/>
    <hyperlink ref="U23" location="'Community engagement'!A1" display="Community engagement" xr:uid="{46EB1C32-16A8-44F2-8F34-7F1ADED2F9CB}"/>
    <hyperlink ref="U17" location="Income!A1" display="Income" xr:uid="{5A340C2C-72C1-4438-9A8A-310D5238BC36}"/>
    <hyperlink ref="U35" location="'Income inequality'!A1" display="Income inequality" xr:uid="{61ECCB69-03D9-46B8-B59B-FD603C2AE74F}"/>
    <hyperlink ref="U13" location="'Building activity'!A1" display="Building activity" xr:uid="{CC21ED70-0C36-476C-9F98-74D9F4537883}"/>
    <hyperlink ref="U15" location="Employment!A1" display="Employment" xr:uid="{B2FBA51D-FB50-4DDE-9E77-9EDBC5B284F8}"/>
    <hyperlink ref="U47" location="'Public transport use'!A1" display="Public transport" xr:uid="{3D12B002-3589-44E6-97E7-9B0EAD66E1A5}"/>
    <hyperlink ref="U21" location="'Water use'!A1" display="Water use" xr:uid="{9CE265BC-8FE4-454F-BD4D-762D51CC0FBB}"/>
    <hyperlink ref="U61" location="'Environmental attitudes'!A1" display="Environmental attitudes" xr:uid="{187C7105-B58F-4C98-AB91-2C3D777C4D09}"/>
    <hyperlink ref="U71" location="'River water quality'!A1" display="River water quality" xr:uid="{33018C07-C9B9-493B-B2C6-C5A1EE4F63B5}"/>
    <hyperlink ref="U73" location="'Soil quality'!A1" display="Soil quality" xr:uid="{9C47D2D6-A107-4683-81C2-6DFE84FDFD1B}"/>
    <hyperlink ref="U69" location="'Rural subdivision'!A1" display="Rural subdivision" xr:uid="{C2684591-C3F7-4259-88C3-D184858C8E75}"/>
    <hyperlink ref="U57" location="'Air quality'!A1" display="Air quality" xr:uid="{58D60780-7804-49A0-97E5-C2B3B47EC005}"/>
    <hyperlink ref="U63" location="'Greenhouse gases'!A1" display="Greenhouse gases" xr:uid="{1E0D9AF5-578A-4B5B-A11C-F0191EA0991B}"/>
    <hyperlink ref="U65" location="'Indigenous vegetation'!A1" display="Indigenous vegetation" xr:uid="{64FBD0EA-3559-4DCB-8447-462A34184904}"/>
    <hyperlink ref="U59" location="'Coastal habitats'!A1" display="Coastal habitats" xr:uid="{B78E353B-D673-4435-B7C0-E0C5A3E05A4C}"/>
    <hyperlink ref="U75" location="Waste!A1" display="Waste" xr:uid="{46652FDB-786D-4383-AD6E-041D76788F65}"/>
    <hyperlink ref="U67" location="Recycling!A1" display="Recycling" xr:uid="{B89DAEDE-5566-4AB6-AF61-47D7633A843F}"/>
    <hyperlink ref="U19" location="'Regional GDP'!A1" display="Regional GDP" xr:uid="{EC73DF06-1A1A-4D85-929D-B7E09A225CDA}"/>
    <hyperlink ref="U39" location="'Life satisfaction'!A1" display="Life satisfaction" xr:uid="{013C6315-6B0B-42B3-A40C-F27BF6E62226}"/>
    <hyperlink ref="A1" location="Index!A1" display="Return to Index" xr:uid="{A51993AE-42F5-4704-8F2F-92EA65C130EA}"/>
    <hyperlink ref="A10" location="'WPI time series'!A1" display="WPI time series" xr:uid="{3521C7A5-20A7-436C-8ACC-4C2C17E7EC4E}"/>
  </hyperlink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49278-2F98-4654-A8D3-F82E58031567}">
  <dimension ref="A1:AK205"/>
  <sheetViews>
    <sheetView workbookViewId="0"/>
  </sheetViews>
  <sheetFormatPr defaultRowHeight="12.75"/>
  <cols>
    <col min="1" max="1" width="42.86328125" customWidth="1"/>
    <col min="2" max="19" width="10" customWidth="1"/>
    <col min="20" max="20" width="11.33203125" customWidth="1"/>
    <col min="21" max="21" width="10.86328125" customWidth="1"/>
    <col min="22" max="24" width="8" customWidth="1"/>
    <col min="26" max="26" width="17.53125" style="27" customWidth="1"/>
    <col min="27" max="27" width="8.86328125" style="27"/>
    <col min="28" max="30" width="18.1328125" style="27" customWidth="1"/>
    <col min="31" max="37" width="8.86328125" style="27"/>
  </cols>
  <sheetData>
    <row r="1" spans="1:37">
      <c r="A1" s="1" t="s">
        <v>106</v>
      </c>
      <c r="Z1" s="21"/>
      <c r="AA1" s="21"/>
      <c r="AB1" s="21"/>
      <c r="AC1" s="21"/>
      <c r="AD1" s="21"/>
      <c r="AE1" s="21"/>
      <c r="AF1" s="21"/>
      <c r="AG1" s="21"/>
      <c r="AH1" s="21"/>
      <c r="AI1" s="21"/>
      <c r="AJ1" s="21"/>
      <c r="AK1" s="21"/>
    </row>
    <row r="3" spans="1:37" ht="13.15">
      <c r="A3" s="2" t="s">
        <v>19</v>
      </c>
      <c r="B3" s="12"/>
      <c r="C3" s="12"/>
      <c r="F3" s="3"/>
      <c r="G3" s="3"/>
      <c r="Z3"/>
      <c r="AA3"/>
      <c r="AB3"/>
      <c r="AC3"/>
      <c r="AD3"/>
      <c r="AE3"/>
      <c r="AF3"/>
      <c r="AG3"/>
      <c r="AH3"/>
      <c r="AI3"/>
      <c r="AJ3"/>
      <c r="AK3"/>
    </row>
    <row r="4" spans="1:37" ht="13.15">
      <c r="B4" s="55"/>
      <c r="C4" s="55"/>
      <c r="F4" s="10"/>
      <c r="G4" s="10"/>
      <c r="Z4"/>
      <c r="AA4"/>
      <c r="AB4"/>
      <c r="AC4"/>
      <c r="AD4"/>
      <c r="AE4"/>
      <c r="AF4"/>
      <c r="AG4"/>
      <c r="AH4"/>
      <c r="AI4"/>
      <c r="AJ4"/>
      <c r="AK4"/>
    </row>
    <row r="5" spans="1:37" ht="13.15">
      <c r="A5" s="2" t="s">
        <v>130</v>
      </c>
      <c r="I5" s="2"/>
      <c r="J5" s="2"/>
      <c r="K5" s="2"/>
      <c r="L5" s="2"/>
      <c r="M5" s="85"/>
      <c r="N5" s="2"/>
      <c r="O5" s="2"/>
      <c r="P5" s="2"/>
      <c r="Q5" s="2"/>
      <c r="R5" s="2"/>
      <c r="S5" s="2"/>
      <c r="T5" s="2"/>
      <c r="U5" s="2"/>
      <c r="V5" s="2"/>
      <c r="W5" s="2"/>
      <c r="X5" s="2"/>
      <c r="Y5" s="2"/>
      <c r="Z5" s="2"/>
      <c r="AA5" s="2"/>
      <c r="AB5" s="2"/>
      <c r="AC5" s="2"/>
      <c r="AD5" s="21"/>
      <c r="AE5" s="21"/>
      <c r="AF5" s="21"/>
      <c r="AG5" s="21"/>
      <c r="AH5" s="21"/>
      <c r="AI5" s="21"/>
      <c r="AJ5" s="21"/>
      <c r="AK5" s="21"/>
    </row>
    <row r="6" spans="1:37">
      <c r="A6" s="35" t="s">
        <v>84</v>
      </c>
      <c r="H6" s="14"/>
      <c r="I6" s="87"/>
      <c r="J6" s="87"/>
      <c r="K6" s="87"/>
      <c r="L6" s="87"/>
      <c r="M6" s="84"/>
      <c r="N6" s="22"/>
      <c r="O6" s="22"/>
      <c r="P6" s="22"/>
      <c r="Q6" s="22"/>
      <c r="R6" s="22"/>
      <c r="S6" s="22"/>
      <c r="T6" s="22"/>
      <c r="U6" s="22"/>
      <c r="V6" s="22"/>
      <c r="W6" s="22"/>
      <c r="X6" s="22"/>
      <c r="Y6" s="22"/>
      <c r="Z6" s="22"/>
      <c r="AA6" s="22"/>
      <c r="AB6" s="22"/>
      <c r="AC6" s="22"/>
    </row>
    <row r="7" spans="1:37" ht="13.15">
      <c r="A7" t="s">
        <v>103</v>
      </c>
      <c r="I7" s="61"/>
      <c r="L7" s="2"/>
      <c r="M7" s="2"/>
    </row>
    <row r="8" spans="1:37">
      <c r="L8" s="22"/>
      <c r="M8" s="22"/>
      <c r="N8" s="13"/>
      <c r="O8" s="13"/>
      <c r="P8" s="13"/>
      <c r="Q8" s="13"/>
      <c r="R8" s="13"/>
      <c r="S8" s="13"/>
      <c r="T8" s="13"/>
      <c r="U8" s="13"/>
      <c r="V8" s="13"/>
      <c r="W8" s="13"/>
      <c r="X8" s="13"/>
      <c r="AD8"/>
      <c r="AE8"/>
      <c r="AF8"/>
      <c r="AG8"/>
      <c r="AH8"/>
      <c r="AI8"/>
      <c r="AJ8"/>
      <c r="AK8"/>
    </row>
    <row r="9" spans="1:37">
      <c r="B9" s="19"/>
      <c r="AD9"/>
      <c r="AE9"/>
      <c r="AF9"/>
      <c r="AG9"/>
      <c r="AH9"/>
      <c r="AI9"/>
      <c r="AJ9"/>
      <c r="AK9"/>
    </row>
    <row r="10" spans="1:37" s="17" customFormat="1">
      <c r="A10" s="17" t="s">
        <v>104</v>
      </c>
    </row>
    <row r="11" spans="1:37">
      <c r="AD11"/>
      <c r="AE11"/>
      <c r="AF11"/>
      <c r="AG11"/>
      <c r="AH11"/>
      <c r="AI11"/>
      <c r="AJ11"/>
      <c r="AK11"/>
    </row>
    <row r="12" spans="1:37" ht="13.15">
      <c r="A12" s="2" t="s">
        <v>132</v>
      </c>
      <c r="B12" s="2">
        <v>2001</v>
      </c>
      <c r="C12" s="2">
        <v>2002</v>
      </c>
      <c r="D12" s="2">
        <v>2003</v>
      </c>
      <c r="E12" s="2">
        <v>2004</v>
      </c>
      <c r="F12" s="2">
        <v>2005</v>
      </c>
      <c r="G12" s="2">
        <v>2006</v>
      </c>
      <c r="H12" s="2">
        <v>2007</v>
      </c>
      <c r="I12" s="2">
        <v>2008</v>
      </c>
      <c r="J12" s="2">
        <v>2009</v>
      </c>
      <c r="K12" s="2">
        <v>2010</v>
      </c>
      <c r="L12" s="2">
        <v>2011</v>
      </c>
      <c r="M12" s="2">
        <v>2012</v>
      </c>
      <c r="N12" s="2">
        <v>2013</v>
      </c>
      <c r="O12" s="2">
        <v>2014</v>
      </c>
      <c r="P12" s="2">
        <v>2015</v>
      </c>
      <c r="Q12" s="2">
        <v>2016</v>
      </c>
      <c r="R12" s="2">
        <v>2017</v>
      </c>
      <c r="S12" s="2">
        <v>2018</v>
      </c>
      <c r="T12" s="2">
        <v>2019</v>
      </c>
      <c r="U12" s="2">
        <v>2020</v>
      </c>
      <c r="V12" s="2">
        <v>2021</v>
      </c>
      <c r="W12" s="2">
        <v>2022</v>
      </c>
      <c r="X12" s="2"/>
      <c r="Y12" s="2" t="s">
        <v>113</v>
      </c>
      <c r="Z12" s="20"/>
      <c r="AB12" s="201" t="s">
        <v>521</v>
      </c>
      <c r="AC12" s="201" t="s">
        <v>512</v>
      </c>
      <c r="AD12" s="201" t="s">
        <v>501</v>
      </c>
      <c r="AE12"/>
      <c r="AF12"/>
      <c r="AG12"/>
      <c r="AH12"/>
      <c r="AI12"/>
      <c r="AJ12"/>
      <c r="AK12"/>
    </row>
    <row r="13" spans="1:37">
      <c r="A13" s="168" t="s">
        <v>40</v>
      </c>
      <c r="B13" s="19">
        <v>2251.2447046734001</v>
      </c>
      <c r="C13" s="19">
        <v>2322.1438631559695</v>
      </c>
      <c r="D13" s="19">
        <v>3164.1074541561675</v>
      </c>
      <c r="E13" s="19">
        <v>3516.268662726628</v>
      </c>
      <c r="F13" s="19">
        <v>4359.076042881803</v>
      </c>
      <c r="G13" s="19">
        <v>3844.1669675176936</v>
      </c>
      <c r="H13" s="19">
        <v>3962.727745607594</v>
      </c>
      <c r="I13" s="19">
        <v>3252.3400752467523</v>
      </c>
      <c r="J13" s="19">
        <v>2548.033472224346</v>
      </c>
      <c r="K13" s="19">
        <v>2605.8366535461246</v>
      </c>
      <c r="L13" s="19">
        <v>2064.2385197321601</v>
      </c>
      <c r="M13" s="19">
        <v>2358.627978080206</v>
      </c>
      <c r="N13" s="19">
        <v>2557.8549712332806</v>
      </c>
      <c r="O13" s="19">
        <v>2863.5974996462969</v>
      </c>
      <c r="P13" s="19">
        <v>3470.875980714035</v>
      </c>
      <c r="Q13" s="19">
        <v>3808.8819708472893</v>
      </c>
      <c r="R13" s="19">
        <v>4014.6583602947039</v>
      </c>
      <c r="S13" s="19">
        <v>4353.561047414677</v>
      </c>
      <c r="T13" s="19">
        <v>4872.273261529961</v>
      </c>
      <c r="U13" s="19">
        <v>4764.4346788931161</v>
      </c>
      <c r="V13" s="19">
        <v>5685.4736463879217</v>
      </c>
      <c r="W13" s="19">
        <v>5695.2692818217192</v>
      </c>
      <c r="X13" s="9"/>
      <c r="Y13" s="31" t="s">
        <v>115</v>
      </c>
      <c r="Z13" s="14"/>
      <c r="AA13"/>
      <c r="AB13" s="15">
        <f>_xlfn.RRI(4,S13,W13)</f>
        <v>6.946704379251889E-2</v>
      </c>
      <c r="AC13" s="15">
        <f>_xlfn.RRI(16,G13,W13)</f>
        <v>2.4871700592719703E-2</v>
      </c>
      <c r="AD13" s="15">
        <f>AB13-AC13</f>
        <v>4.4595343199799187E-2</v>
      </c>
      <c r="AE13"/>
      <c r="AF13"/>
      <c r="AG13"/>
      <c r="AH13"/>
      <c r="AI13"/>
      <c r="AJ13"/>
      <c r="AK13"/>
    </row>
    <row r="14" spans="1:37">
      <c r="A14" s="168" t="s">
        <v>160</v>
      </c>
      <c r="B14" s="10">
        <v>0.61399999999999999</v>
      </c>
      <c r="C14" s="10">
        <v>0.6409999999999999</v>
      </c>
      <c r="D14" s="10">
        <v>0.64800000000000002</v>
      </c>
      <c r="E14" s="10">
        <v>0.65400000000000003</v>
      </c>
      <c r="F14" s="10">
        <v>0.6409999999999999</v>
      </c>
      <c r="G14" s="10">
        <v>0.67099999999999993</v>
      </c>
      <c r="H14" s="10">
        <v>0.66700000000000004</v>
      </c>
      <c r="I14" s="10">
        <v>0.66700000000000004</v>
      </c>
      <c r="J14" s="10">
        <v>0.65</v>
      </c>
      <c r="K14" s="10">
        <v>0.626</v>
      </c>
      <c r="L14" s="10">
        <v>0.64700000000000002</v>
      </c>
      <c r="M14" s="10">
        <v>0.63</v>
      </c>
      <c r="N14" s="10">
        <v>0.63100000000000001</v>
      </c>
      <c r="O14" s="10">
        <v>0.63200000000000001</v>
      </c>
      <c r="P14" s="10">
        <v>0.64599999999999991</v>
      </c>
      <c r="Q14" s="10">
        <v>0.65400000000000003</v>
      </c>
      <c r="R14" s="10">
        <v>0.67700000000000005</v>
      </c>
      <c r="S14" s="10">
        <v>0.7</v>
      </c>
      <c r="T14" s="10">
        <v>0.68099999999999994</v>
      </c>
      <c r="U14" s="10">
        <v>0.66700000000000004</v>
      </c>
      <c r="V14" s="10">
        <v>0.66599999999999993</v>
      </c>
      <c r="W14" s="10">
        <v>0.67099999999999993</v>
      </c>
      <c r="X14" s="10"/>
      <c r="Y14" s="31" t="s">
        <v>115</v>
      </c>
      <c r="Z14" s="14"/>
      <c r="AA14"/>
      <c r="AB14" s="15">
        <f t="shared" ref="AB14:AB44" si="0">_xlfn.RRI(4,S14,W14)</f>
        <v>-1.0522051334126425E-2</v>
      </c>
      <c r="AC14" s="15">
        <f t="shared" ref="AC14:AC44" si="1">_xlfn.RRI(16,G14,W14)</f>
        <v>0</v>
      </c>
      <c r="AD14" s="15">
        <f t="shared" ref="AD14:AD42" si="2">AB14-AC14</f>
        <v>-1.0522051334126425E-2</v>
      </c>
      <c r="AE14"/>
      <c r="AF14"/>
      <c r="AG14"/>
      <c r="AH14"/>
      <c r="AI14"/>
      <c r="AJ14"/>
      <c r="AK14"/>
    </row>
    <row r="15" spans="1:37">
      <c r="A15" s="168" t="s">
        <v>38</v>
      </c>
      <c r="B15" s="19">
        <v>1309.5890915283198</v>
      </c>
      <c r="C15" s="19">
        <v>1366.2018211613101</v>
      </c>
      <c r="D15" s="19">
        <v>1396.1563238746614</v>
      </c>
      <c r="E15" s="19">
        <v>1342.5505659129892</v>
      </c>
      <c r="F15" s="19">
        <v>1475.6367162316731</v>
      </c>
      <c r="G15" s="19">
        <v>1528.7208600000001</v>
      </c>
      <c r="H15" s="19">
        <v>1574.1018823529414</v>
      </c>
      <c r="I15" s="19">
        <v>1609.8661639962299</v>
      </c>
      <c r="J15" s="19">
        <v>1576.1312025901943</v>
      </c>
      <c r="K15" s="19">
        <v>1490.7387534121929</v>
      </c>
      <c r="L15" s="19">
        <v>1414.7783059636993</v>
      </c>
      <c r="M15" s="19">
        <v>1485.5414469178083</v>
      </c>
      <c r="N15" s="19">
        <v>1505.6948639455784</v>
      </c>
      <c r="O15" s="19">
        <v>1442.4479414225943</v>
      </c>
      <c r="P15" s="19">
        <v>1558.6120500000002</v>
      </c>
      <c r="Q15" s="19">
        <v>1755.3174605809131</v>
      </c>
      <c r="R15" s="19">
        <v>1739.1828874388257</v>
      </c>
      <c r="S15" s="19">
        <v>1915.9413447552615</v>
      </c>
      <c r="T15" s="19">
        <v>1941.758526117781</v>
      </c>
      <c r="U15" s="19">
        <v>1898.4151695984797</v>
      </c>
      <c r="V15" s="19">
        <v>1944.3078407574651</v>
      </c>
      <c r="W15" s="19">
        <v>1935</v>
      </c>
      <c r="X15" s="19"/>
      <c r="Y15" s="31" t="s">
        <v>115</v>
      </c>
      <c r="Z15" s="21"/>
      <c r="AA15"/>
      <c r="AB15" s="15">
        <f t="shared" si="0"/>
        <v>2.4776294600565851E-3</v>
      </c>
      <c r="AC15" s="15">
        <f t="shared" si="1"/>
        <v>1.4838766105562007E-2</v>
      </c>
      <c r="AD15" s="15">
        <f t="shared" si="2"/>
        <v>-1.2361136645505422E-2</v>
      </c>
      <c r="AE15"/>
      <c r="AF15"/>
      <c r="AG15"/>
      <c r="AH15"/>
      <c r="AI15"/>
      <c r="AJ15"/>
      <c r="AK15"/>
    </row>
    <row r="16" spans="1:37">
      <c r="A16" s="168" t="s">
        <v>37</v>
      </c>
      <c r="B16" s="19">
        <v>45978.850855745717</v>
      </c>
      <c r="C16" s="19">
        <v>48820.830935251797</v>
      </c>
      <c r="D16" s="19">
        <v>46712.423913043487</v>
      </c>
      <c r="E16" s="19">
        <v>48551.446533490016</v>
      </c>
      <c r="F16" s="19">
        <v>49025.165720771853</v>
      </c>
      <c r="G16" s="19">
        <v>51167.983258928572</v>
      </c>
      <c r="H16" s="19">
        <v>53898.491434689502</v>
      </c>
      <c r="I16" s="19">
        <v>53691.329603255341</v>
      </c>
      <c r="J16" s="19">
        <v>54867.957128614165</v>
      </c>
      <c r="K16" s="19">
        <v>52704.718811881183</v>
      </c>
      <c r="L16" s="19">
        <v>53083.984747378461</v>
      </c>
      <c r="M16" s="19">
        <v>55761.420056764429</v>
      </c>
      <c r="N16" s="19">
        <v>54194.784295175028</v>
      </c>
      <c r="O16" s="19">
        <v>56190.262265834077</v>
      </c>
      <c r="P16" s="19">
        <v>55729.479747974801</v>
      </c>
      <c r="Q16" s="19">
        <v>55629.322094055009</v>
      </c>
      <c r="R16" s="19">
        <v>56456.284734133791</v>
      </c>
      <c r="S16" s="19">
        <v>58850.097210481828</v>
      </c>
      <c r="T16" s="19">
        <v>61059.797500000001</v>
      </c>
      <c r="U16" s="19">
        <v>61498.00722891566</v>
      </c>
      <c r="V16" s="19">
        <v>61967.9448441247</v>
      </c>
      <c r="W16" s="19">
        <v>63713</v>
      </c>
      <c r="X16" s="19"/>
      <c r="Y16" s="31" t="s">
        <v>115</v>
      </c>
      <c r="Z16" s="14"/>
      <c r="AA16"/>
      <c r="AB16" s="15">
        <f t="shared" si="0"/>
        <v>2.0047081395996091E-2</v>
      </c>
      <c r="AC16" s="15">
        <f t="shared" si="1"/>
        <v>1.3799002739256494E-2</v>
      </c>
      <c r="AD16" s="15">
        <f t="shared" si="2"/>
        <v>6.2480786567395974E-3</v>
      </c>
      <c r="AE16"/>
      <c r="AF16"/>
      <c r="AG16"/>
      <c r="AH16"/>
      <c r="AI16"/>
      <c r="AJ16"/>
      <c r="AK16"/>
    </row>
    <row r="17" spans="1:37">
      <c r="A17" s="168" t="s">
        <v>71</v>
      </c>
      <c r="B17" s="64">
        <v>0.67222753854332806</v>
      </c>
      <c r="C17" s="64">
        <v>0.67222753854332806</v>
      </c>
      <c r="D17" s="64">
        <v>0.67222753854332806</v>
      </c>
      <c r="E17" s="64">
        <v>0.67222753854332806</v>
      </c>
      <c r="F17" s="64">
        <v>0.67222753854332806</v>
      </c>
      <c r="G17" s="64">
        <v>0.67222753854332806</v>
      </c>
      <c r="H17" s="58">
        <v>0.67222753854332806</v>
      </c>
      <c r="I17" s="58">
        <v>0.64990962254120144</v>
      </c>
      <c r="J17" s="58">
        <v>0.64461456671982997</v>
      </c>
      <c r="K17" s="58">
        <v>0.68706007442849559</v>
      </c>
      <c r="L17" s="58">
        <v>0.71778309409888363</v>
      </c>
      <c r="M17" s="58">
        <v>0.76439659755449241</v>
      </c>
      <c r="N17" s="58">
        <v>0.87071238702817655</v>
      </c>
      <c r="O17" s="58">
        <v>0.85851674641148334</v>
      </c>
      <c r="P17" s="58">
        <v>0.86199999999999999</v>
      </c>
      <c r="Q17" s="58">
        <v>0.86481658692185004</v>
      </c>
      <c r="R17" s="58">
        <v>0.85199999999999998</v>
      </c>
      <c r="S17" s="58">
        <v>0.85799999999999998</v>
      </c>
      <c r="T17" s="58">
        <v>0.84855382967327264</v>
      </c>
      <c r="U17" s="58">
        <v>0.82852169255490082</v>
      </c>
      <c r="V17" s="58">
        <v>0.89823781467595099</v>
      </c>
      <c r="W17" s="58">
        <v>0.90201928227102302</v>
      </c>
      <c r="X17" s="58"/>
      <c r="Y17" s="32" t="s">
        <v>114</v>
      </c>
      <c r="Z17" s="14"/>
      <c r="AA17"/>
      <c r="AB17" s="15">
        <f t="shared" si="0"/>
        <v>1.2586500960422908E-2</v>
      </c>
      <c r="AC17" s="15">
        <f t="shared" si="1"/>
        <v>1.8547342755327323E-2</v>
      </c>
      <c r="AD17" s="15">
        <f t="shared" si="2"/>
        <v>-5.9608417949044146E-3</v>
      </c>
      <c r="AE17"/>
      <c r="AF17"/>
      <c r="AG17"/>
      <c r="AH17"/>
      <c r="AI17"/>
      <c r="AJ17"/>
      <c r="AK17"/>
    </row>
    <row r="18" spans="1:37">
      <c r="A18" s="169" t="s">
        <v>83</v>
      </c>
      <c r="B18" s="101">
        <v>0.62</v>
      </c>
      <c r="C18" s="101">
        <v>0.62</v>
      </c>
      <c r="D18" s="101">
        <v>0.62</v>
      </c>
      <c r="E18" s="101">
        <v>0.62</v>
      </c>
      <c r="F18" s="101">
        <v>0.62</v>
      </c>
      <c r="G18" s="15">
        <v>0.62</v>
      </c>
      <c r="H18" s="101">
        <v>0.60399999999999998</v>
      </c>
      <c r="I18" s="101">
        <v>0.58799999999999997</v>
      </c>
      <c r="J18" s="101">
        <v>0.57199999999999995</v>
      </c>
      <c r="K18" s="101">
        <v>0.55599999999999994</v>
      </c>
      <c r="L18" s="101">
        <v>0.53999999999999992</v>
      </c>
      <c r="M18" s="101">
        <v>0.52399999999999991</v>
      </c>
      <c r="N18" s="101">
        <v>0.5079999999999999</v>
      </c>
      <c r="O18" s="101">
        <v>0.49199999999999988</v>
      </c>
      <c r="P18" s="101">
        <v>0.47599999999999987</v>
      </c>
      <c r="Q18" s="15">
        <v>0.46</v>
      </c>
      <c r="R18" s="101">
        <v>0.41000000000000003</v>
      </c>
      <c r="S18" s="15">
        <v>0.36</v>
      </c>
      <c r="T18" s="101">
        <v>0.36499999999999999</v>
      </c>
      <c r="U18" s="15">
        <v>0.37</v>
      </c>
      <c r="V18" s="101">
        <v>0.33999999999999997</v>
      </c>
      <c r="W18" s="15">
        <v>0.31</v>
      </c>
      <c r="X18" s="15"/>
      <c r="Y18" s="31" t="s">
        <v>115</v>
      </c>
      <c r="Z18" s="14"/>
      <c r="AA18"/>
      <c r="AB18" s="15">
        <f t="shared" si="0"/>
        <v>-3.6692817872545413E-2</v>
      </c>
      <c r="AC18" s="15">
        <f t="shared" si="1"/>
        <v>-4.23967193014263E-2</v>
      </c>
      <c r="AD18" s="15">
        <f t="shared" si="2"/>
        <v>5.7039014288808865E-3</v>
      </c>
      <c r="AE18"/>
      <c r="AF18"/>
      <c r="AG18"/>
      <c r="AH18"/>
      <c r="AI18"/>
      <c r="AJ18"/>
      <c r="AK18"/>
    </row>
    <row r="19" spans="1:37">
      <c r="A19" s="169" t="s">
        <v>34</v>
      </c>
      <c r="B19" s="101">
        <v>0.7</v>
      </c>
      <c r="C19" s="101">
        <v>0.7</v>
      </c>
      <c r="D19" s="101">
        <v>0.7</v>
      </c>
      <c r="E19" s="101">
        <v>0.7</v>
      </c>
      <c r="F19" s="101">
        <v>0.7</v>
      </c>
      <c r="G19" s="15">
        <v>0.7</v>
      </c>
      <c r="H19" s="101">
        <v>0.69799999999999995</v>
      </c>
      <c r="I19" s="101">
        <v>0.69599999999999995</v>
      </c>
      <c r="J19" s="101">
        <v>0.69399999999999995</v>
      </c>
      <c r="K19" s="101">
        <v>0.69199999999999995</v>
      </c>
      <c r="L19" s="101">
        <v>0.69</v>
      </c>
      <c r="M19" s="101">
        <v>0.68799999999999994</v>
      </c>
      <c r="N19" s="101">
        <v>0.68599999999999994</v>
      </c>
      <c r="O19" s="101">
        <v>0.68399999999999994</v>
      </c>
      <c r="P19" s="101">
        <v>0.68199999999999994</v>
      </c>
      <c r="Q19" s="15">
        <v>0.68</v>
      </c>
      <c r="R19" s="101">
        <v>0.65</v>
      </c>
      <c r="S19" s="15">
        <v>0.62</v>
      </c>
      <c r="T19" s="101">
        <v>0.64500000000000002</v>
      </c>
      <c r="U19" s="15">
        <v>0.67</v>
      </c>
      <c r="V19" s="101">
        <v>0.65500000000000003</v>
      </c>
      <c r="W19" s="15">
        <v>0.64</v>
      </c>
      <c r="X19" s="15"/>
      <c r="Y19" s="31" t="s">
        <v>115</v>
      </c>
      <c r="Z19" s="14"/>
      <c r="AA19"/>
      <c r="AB19" s="15">
        <f t="shared" si="0"/>
        <v>7.9687574530888927E-3</v>
      </c>
      <c r="AC19" s="15">
        <f t="shared" si="1"/>
        <v>-5.5851049025723576E-3</v>
      </c>
      <c r="AD19" s="15">
        <f t="shared" si="2"/>
        <v>1.355386235566125E-2</v>
      </c>
      <c r="AE19"/>
      <c r="AF19"/>
      <c r="AG19"/>
      <c r="AH19"/>
      <c r="AI19"/>
      <c r="AJ19"/>
      <c r="AK19"/>
    </row>
    <row r="20" spans="1:37">
      <c r="A20" s="169" t="s">
        <v>14</v>
      </c>
      <c r="B20" s="125">
        <v>832.56976469213441</v>
      </c>
      <c r="C20" s="125">
        <v>840.77875348425039</v>
      </c>
      <c r="D20" s="125">
        <v>780.64422908279755</v>
      </c>
      <c r="E20" s="125">
        <v>720.70913312613504</v>
      </c>
      <c r="F20" s="125">
        <v>769.96208471948717</v>
      </c>
      <c r="G20" s="125">
        <v>833.71932654000068</v>
      </c>
      <c r="H20" s="125">
        <v>798.03066041675686</v>
      </c>
      <c r="I20" s="125">
        <v>760.70513838144711</v>
      </c>
      <c r="J20" s="125">
        <v>829.01342687029103</v>
      </c>
      <c r="K20" s="125">
        <v>803.07020731837747</v>
      </c>
      <c r="L20" s="125">
        <v>807.10697492173938</v>
      </c>
      <c r="M20" s="125">
        <v>739.15356970538426</v>
      </c>
      <c r="N20" s="125">
        <v>722.41238880809067</v>
      </c>
      <c r="O20" s="125">
        <v>652.73253264627488</v>
      </c>
      <c r="P20" s="59">
        <v>582.69116775340842</v>
      </c>
      <c r="Q20" s="59">
        <v>624.71339848184664</v>
      </c>
      <c r="R20" s="59">
        <v>624.52049153681105</v>
      </c>
      <c r="S20" s="59">
        <v>589.03035823994242</v>
      </c>
      <c r="T20" s="59">
        <v>658.70151420867035</v>
      </c>
      <c r="U20" s="59">
        <v>623.33058034365365</v>
      </c>
      <c r="V20" s="59">
        <v>679.72108317981019</v>
      </c>
      <c r="W20" s="59">
        <v>826.78585430879014</v>
      </c>
      <c r="X20" s="59"/>
      <c r="Y20" s="32" t="s">
        <v>114</v>
      </c>
      <c r="Z20" s="21"/>
      <c r="AB20" s="15">
        <f t="shared" si="0"/>
        <v>8.8463423640471772E-2</v>
      </c>
      <c r="AC20" s="15">
        <f t="shared" si="1"/>
        <v>-5.2180681759617098E-4</v>
      </c>
      <c r="AD20" s="15">
        <f t="shared" si="2"/>
        <v>8.8985230458067943E-2</v>
      </c>
      <c r="AE20"/>
      <c r="AF20"/>
      <c r="AG20"/>
      <c r="AH20"/>
      <c r="AI20"/>
      <c r="AJ20"/>
      <c r="AK20"/>
    </row>
    <row r="21" spans="1:37">
      <c r="A21" s="169" t="s">
        <v>39</v>
      </c>
      <c r="B21" s="101">
        <v>0.51</v>
      </c>
      <c r="C21" s="101">
        <v>0.51</v>
      </c>
      <c r="D21" s="101">
        <v>0.51</v>
      </c>
      <c r="E21" s="101">
        <v>0.51</v>
      </c>
      <c r="F21" s="101">
        <v>0.51</v>
      </c>
      <c r="G21" s="15">
        <v>0.51</v>
      </c>
      <c r="H21" s="101">
        <v>0.502</v>
      </c>
      <c r="I21" s="101">
        <v>0.49399999999999999</v>
      </c>
      <c r="J21" s="101">
        <v>0.48599999999999999</v>
      </c>
      <c r="K21" s="101">
        <v>0.47799999999999998</v>
      </c>
      <c r="L21" s="101">
        <v>0.47</v>
      </c>
      <c r="M21" s="101">
        <v>0.46199999999999997</v>
      </c>
      <c r="N21" s="101">
        <v>0.45399999999999996</v>
      </c>
      <c r="O21" s="101">
        <v>0.44599999999999995</v>
      </c>
      <c r="P21" s="101">
        <v>0.43799999999999994</v>
      </c>
      <c r="Q21" s="15">
        <v>0.43</v>
      </c>
      <c r="R21" s="101">
        <v>0.42</v>
      </c>
      <c r="S21" s="15">
        <v>0.41</v>
      </c>
      <c r="T21" s="101">
        <v>0.43999999999999995</v>
      </c>
      <c r="U21" s="15">
        <v>0.47</v>
      </c>
      <c r="V21" s="101">
        <v>0.43</v>
      </c>
      <c r="W21" s="15">
        <v>0.39</v>
      </c>
      <c r="X21" s="15"/>
      <c r="Y21" s="31" t="s">
        <v>115</v>
      </c>
      <c r="Z21" s="14"/>
      <c r="AA21"/>
      <c r="AB21" s="15">
        <f t="shared" si="0"/>
        <v>-1.2424772284818308E-2</v>
      </c>
      <c r="AC21" s="15">
        <f t="shared" si="1"/>
        <v>-1.6626723687136913E-2</v>
      </c>
      <c r="AD21" s="15">
        <f t="shared" si="2"/>
        <v>4.2019514023186044E-3</v>
      </c>
      <c r="AE21"/>
      <c r="AF21"/>
      <c r="AG21"/>
      <c r="AH21"/>
      <c r="AI21"/>
      <c r="AJ21"/>
      <c r="AK21"/>
    </row>
    <row r="22" spans="1:37">
      <c r="A22" s="169" t="s">
        <v>68</v>
      </c>
      <c r="B22" s="36">
        <v>0.6420938235826843</v>
      </c>
      <c r="C22" s="36">
        <v>0.6420938235826843</v>
      </c>
      <c r="D22" s="36">
        <v>0.6420938235826843</v>
      </c>
      <c r="E22" s="36">
        <v>0.6420938235826843</v>
      </c>
      <c r="F22" s="36">
        <v>0.6420938235826843</v>
      </c>
      <c r="G22" s="36">
        <v>0.6420938235826843</v>
      </c>
      <c r="H22" s="36">
        <v>0.6420938235826843</v>
      </c>
      <c r="I22" s="133">
        <v>0.6420938235826843</v>
      </c>
      <c r="J22" s="10">
        <v>0.6420938235826843</v>
      </c>
      <c r="K22" s="10">
        <v>0.66400000000000003</v>
      </c>
      <c r="L22" s="10">
        <v>0.69499999999999995</v>
      </c>
      <c r="M22" s="10">
        <v>0.72</v>
      </c>
      <c r="N22" s="10">
        <v>0.73599999999999999</v>
      </c>
      <c r="O22" s="10">
        <v>0.7609999999999999</v>
      </c>
      <c r="P22" s="10">
        <v>0.77599999999999991</v>
      </c>
      <c r="Q22" s="10">
        <v>0.79599999999999993</v>
      </c>
      <c r="R22" s="10">
        <v>0.78599999999999992</v>
      </c>
      <c r="S22" s="10">
        <v>0.79099999999999993</v>
      </c>
      <c r="T22" s="10">
        <v>0.78299999999999992</v>
      </c>
      <c r="U22" s="10">
        <v>0.79099999999999993</v>
      </c>
      <c r="V22" s="10">
        <v>0.77200000000000002</v>
      </c>
      <c r="W22" s="133">
        <v>0.77200000000000002</v>
      </c>
      <c r="X22" s="10"/>
      <c r="Y22" s="31" t="s">
        <v>115</v>
      </c>
      <c r="Z22" s="21"/>
      <c r="AB22" s="15">
        <f t="shared" si="0"/>
        <v>-6.0599186114671522E-3</v>
      </c>
      <c r="AC22" s="15">
        <f t="shared" si="1"/>
        <v>1.1582192288069226E-2</v>
      </c>
      <c r="AD22" s="15">
        <f t="shared" si="2"/>
        <v>-1.7642110899536378E-2</v>
      </c>
      <c r="AE22"/>
      <c r="AF22"/>
      <c r="AG22"/>
      <c r="AH22"/>
      <c r="AI22"/>
      <c r="AJ22"/>
      <c r="AK22"/>
    </row>
    <row r="23" spans="1:37">
      <c r="A23" s="169" t="s">
        <v>65</v>
      </c>
      <c r="B23" s="36">
        <v>0.20499999999999999</v>
      </c>
      <c r="C23" s="36">
        <v>0.20499999999999999</v>
      </c>
      <c r="D23" s="36">
        <v>0.20499999999999999</v>
      </c>
      <c r="E23" s="36">
        <v>0.20499999999999999</v>
      </c>
      <c r="F23" s="36">
        <v>0.20499999999999999</v>
      </c>
      <c r="G23" s="36">
        <v>0.20499999999999999</v>
      </c>
      <c r="H23" s="10">
        <v>0.20499999999999999</v>
      </c>
      <c r="I23" s="10">
        <v>0.18600000000000003</v>
      </c>
      <c r="J23" s="10">
        <v>0.20499999999999999</v>
      </c>
      <c r="K23" s="10">
        <v>0.17699999999999999</v>
      </c>
      <c r="L23" s="10">
        <v>0.183</v>
      </c>
      <c r="M23" s="10">
        <v>0.20100000000000001</v>
      </c>
      <c r="N23" s="10">
        <v>0.17199999999999999</v>
      </c>
      <c r="O23" s="10">
        <v>0.20300000000000001</v>
      </c>
      <c r="P23" s="10">
        <v>0.18899999999999997</v>
      </c>
      <c r="Q23" s="10">
        <v>0.20399999999999999</v>
      </c>
      <c r="R23" s="10">
        <v>0.19899999999999998</v>
      </c>
      <c r="S23" s="10">
        <v>0.20199999999999999</v>
      </c>
      <c r="T23" s="10">
        <v>0.19600000000000001</v>
      </c>
      <c r="U23" s="10">
        <v>0.20499999999999999</v>
      </c>
      <c r="V23" s="10">
        <v>0.20199999999999999</v>
      </c>
      <c r="W23" s="10">
        <v>0.184</v>
      </c>
      <c r="X23" s="10"/>
      <c r="Y23" s="32" t="s">
        <v>114</v>
      </c>
      <c r="Z23" s="14"/>
      <c r="AB23" s="15">
        <f t="shared" si="0"/>
        <v>-2.3062875751199585E-2</v>
      </c>
      <c r="AC23" s="15">
        <f t="shared" si="1"/>
        <v>-6.7318775495670558E-3</v>
      </c>
      <c r="AD23" s="15">
        <f t="shared" si="2"/>
        <v>-1.6330998201632529E-2</v>
      </c>
      <c r="AE23"/>
      <c r="AF23"/>
      <c r="AG23"/>
      <c r="AH23"/>
      <c r="AI23"/>
      <c r="AJ23"/>
      <c r="AK23"/>
    </row>
    <row r="24" spans="1:37">
      <c r="A24" s="169" t="s">
        <v>159</v>
      </c>
      <c r="B24" s="65">
        <v>0.35107619309999999</v>
      </c>
      <c r="C24" s="65">
        <v>0.35107619309999999</v>
      </c>
      <c r="D24" s="65">
        <v>0.35107619309999999</v>
      </c>
      <c r="E24" s="65">
        <v>0.35107619309999999</v>
      </c>
      <c r="F24" s="65">
        <v>0.35107619309999999</v>
      </c>
      <c r="G24" s="65">
        <v>0.35107619309999999</v>
      </c>
      <c r="H24" s="22">
        <v>0.35107619309999999</v>
      </c>
      <c r="I24" s="22">
        <v>0.4008313489</v>
      </c>
      <c r="J24" s="22">
        <v>0.31539996650000002</v>
      </c>
      <c r="K24" s="22">
        <v>0.35549977939999999</v>
      </c>
      <c r="L24" s="22">
        <v>0.39271483140000002</v>
      </c>
      <c r="M24" s="22">
        <v>0.412406151</v>
      </c>
      <c r="N24" s="22">
        <v>0.341751201</v>
      </c>
      <c r="O24" s="22">
        <v>0.37529659230000001</v>
      </c>
      <c r="P24" s="22">
        <v>0.44396520369999998</v>
      </c>
      <c r="Q24" s="22">
        <v>0.41291360220000001</v>
      </c>
      <c r="R24" s="22">
        <v>0.41658550750000001</v>
      </c>
      <c r="S24" s="22">
        <v>0.39489459529999998</v>
      </c>
      <c r="T24" s="22">
        <v>0.41007544689999997</v>
      </c>
      <c r="U24" s="22">
        <v>0.38169096650000001</v>
      </c>
      <c r="V24" s="22">
        <v>0.36166111379999999</v>
      </c>
      <c r="W24" s="22">
        <v>0.35168268959999999</v>
      </c>
      <c r="X24" s="22"/>
      <c r="Y24" s="32" t="s">
        <v>114</v>
      </c>
      <c r="Z24" s="14"/>
      <c r="AA24"/>
      <c r="AB24" s="15">
        <f t="shared" si="0"/>
        <v>-2.8556715059221416E-2</v>
      </c>
      <c r="AC24" s="15">
        <f t="shared" si="1"/>
        <v>1.0788361777480659E-4</v>
      </c>
      <c r="AD24" s="15">
        <f t="shared" si="2"/>
        <v>-2.8664598676996222E-2</v>
      </c>
      <c r="AE24"/>
      <c r="AF24"/>
      <c r="AG24"/>
      <c r="AH24"/>
      <c r="AI24"/>
      <c r="AJ24"/>
      <c r="AK24"/>
    </row>
    <row r="25" spans="1:37">
      <c r="A25" s="169" t="s">
        <v>69</v>
      </c>
      <c r="B25" s="13">
        <v>78.5</v>
      </c>
      <c r="C25" s="37">
        <v>78.760000000000005</v>
      </c>
      <c r="D25" s="37">
        <v>79.02000000000001</v>
      </c>
      <c r="E25" s="37">
        <v>79.280000000000015</v>
      </c>
      <c r="F25" s="37">
        <v>79.54000000000002</v>
      </c>
      <c r="G25" s="13">
        <v>79.800000000000011</v>
      </c>
      <c r="H25" s="37">
        <v>79.964285714285722</v>
      </c>
      <c r="I25" s="37">
        <v>80.128571428571433</v>
      </c>
      <c r="J25" s="37">
        <v>80.292857142857144</v>
      </c>
      <c r="K25" s="37">
        <v>80.457142857142856</v>
      </c>
      <c r="L25" s="37">
        <v>80.621428571428567</v>
      </c>
      <c r="M25" s="37">
        <v>80.785714285714278</v>
      </c>
      <c r="N25" s="13">
        <v>80.95</v>
      </c>
      <c r="O25" s="37">
        <v>81.03</v>
      </c>
      <c r="P25" s="37">
        <v>81.11</v>
      </c>
      <c r="Q25" s="37">
        <v>81.19</v>
      </c>
      <c r="R25" s="37">
        <v>81.27</v>
      </c>
      <c r="S25" s="13">
        <v>81.349999999999994</v>
      </c>
      <c r="T25" s="37">
        <v>81.349999999999994</v>
      </c>
      <c r="U25" s="147">
        <v>81.349999999999994</v>
      </c>
      <c r="V25" s="147">
        <v>81.349999999999994</v>
      </c>
      <c r="W25" s="147">
        <v>81.349999999999994</v>
      </c>
      <c r="X25" s="13"/>
      <c r="Y25" s="31" t="s">
        <v>115</v>
      </c>
      <c r="Z25" s="14"/>
      <c r="AB25" s="15">
        <f t="shared" si="0"/>
        <v>0</v>
      </c>
      <c r="AC25" s="15">
        <f t="shared" si="1"/>
        <v>1.2030561677627283E-3</v>
      </c>
      <c r="AD25" s="15">
        <f t="shared" si="2"/>
        <v>-1.2030561677627283E-3</v>
      </c>
      <c r="AF25"/>
      <c r="AG25"/>
      <c r="AH25"/>
      <c r="AI25"/>
      <c r="AJ25"/>
      <c r="AK25"/>
    </row>
    <row r="26" spans="1:37">
      <c r="A26" s="169" t="s">
        <v>154</v>
      </c>
      <c r="B26" s="101">
        <v>0.9</v>
      </c>
      <c r="C26" s="101">
        <v>0.9</v>
      </c>
      <c r="D26" s="101">
        <v>0.9</v>
      </c>
      <c r="E26" s="101">
        <v>0.9</v>
      </c>
      <c r="F26" s="101">
        <v>0.9</v>
      </c>
      <c r="G26" s="15">
        <v>0.9</v>
      </c>
      <c r="H26" s="101">
        <v>0.89400000000000002</v>
      </c>
      <c r="I26" s="101">
        <v>0.88800000000000001</v>
      </c>
      <c r="J26" s="101">
        <v>0.88200000000000001</v>
      </c>
      <c r="K26" s="101">
        <v>0.876</v>
      </c>
      <c r="L26" s="101">
        <v>0.87</v>
      </c>
      <c r="M26" s="101">
        <v>0.86399999999999999</v>
      </c>
      <c r="N26" s="101">
        <v>0.85799999999999998</v>
      </c>
      <c r="O26" s="101">
        <v>0.85199999999999998</v>
      </c>
      <c r="P26" s="101">
        <v>0.84599999999999997</v>
      </c>
      <c r="Q26" s="15">
        <v>0.84</v>
      </c>
      <c r="R26" s="101">
        <v>0.85499999999999998</v>
      </c>
      <c r="S26" s="15">
        <v>0.87</v>
      </c>
      <c r="T26" s="101">
        <v>0.875</v>
      </c>
      <c r="U26" s="15">
        <v>0.88</v>
      </c>
      <c r="V26" s="101">
        <v>0.87</v>
      </c>
      <c r="W26" s="15">
        <v>0.86</v>
      </c>
      <c r="X26" s="15"/>
      <c r="Y26" s="31" t="s">
        <v>115</v>
      </c>
      <c r="Z26" s="14"/>
      <c r="AB26" s="15">
        <f t="shared" si="0"/>
        <v>-2.8860329769442306E-3</v>
      </c>
      <c r="AC26" s="15">
        <f t="shared" si="1"/>
        <v>-2.8373654280661187E-3</v>
      </c>
      <c r="AD26" s="15">
        <f t="shared" si="2"/>
        <v>-4.8667548878111866E-5</v>
      </c>
      <c r="AE26"/>
      <c r="AF26"/>
      <c r="AG26"/>
      <c r="AH26"/>
      <c r="AI26"/>
      <c r="AJ26"/>
      <c r="AK26"/>
    </row>
    <row r="27" spans="1:37">
      <c r="A27" s="169" t="s">
        <v>67</v>
      </c>
      <c r="B27" s="101">
        <v>0.9</v>
      </c>
      <c r="C27" s="101">
        <v>0.9</v>
      </c>
      <c r="D27" s="101">
        <v>0.9</v>
      </c>
      <c r="E27" s="101">
        <v>0.9</v>
      </c>
      <c r="F27" s="101">
        <v>0.9</v>
      </c>
      <c r="G27" s="15">
        <v>0.9</v>
      </c>
      <c r="H27" s="101">
        <v>0.89400000000000002</v>
      </c>
      <c r="I27" s="101">
        <v>0.88800000000000001</v>
      </c>
      <c r="J27" s="101">
        <v>0.88200000000000001</v>
      </c>
      <c r="K27" s="101">
        <v>0.876</v>
      </c>
      <c r="L27" s="101">
        <v>0.87</v>
      </c>
      <c r="M27" s="101">
        <v>0.86399999999999999</v>
      </c>
      <c r="N27" s="101">
        <v>0.85799999999999998</v>
      </c>
      <c r="O27" s="101">
        <v>0.85199999999999998</v>
      </c>
      <c r="P27" s="101">
        <v>0.84599999999999997</v>
      </c>
      <c r="Q27" s="15">
        <v>0.84</v>
      </c>
      <c r="R27" s="101">
        <v>0.81499999999999995</v>
      </c>
      <c r="S27" s="15">
        <v>0.79</v>
      </c>
      <c r="T27" s="101">
        <v>0.79</v>
      </c>
      <c r="U27" s="15">
        <v>0.79</v>
      </c>
      <c r="V27" s="101">
        <v>0.79500000000000004</v>
      </c>
      <c r="W27" s="15">
        <v>0.8</v>
      </c>
      <c r="X27" s="15"/>
      <c r="Y27" s="31" t="s">
        <v>115</v>
      </c>
      <c r="Z27" s="14"/>
      <c r="AB27" s="15">
        <f t="shared" si="0"/>
        <v>3.1496452938890585E-3</v>
      </c>
      <c r="AC27" s="15">
        <f t="shared" si="1"/>
        <v>-7.3344106959505329E-3</v>
      </c>
      <c r="AD27" s="15">
        <f t="shared" si="2"/>
        <v>1.0484055989839591E-2</v>
      </c>
      <c r="AF27"/>
      <c r="AG27"/>
      <c r="AH27"/>
      <c r="AI27"/>
      <c r="AJ27"/>
      <c r="AK27"/>
    </row>
    <row r="28" spans="1:37">
      <c r="A28" s="169" t="s">
        <v>111</v>
      </c>
      <c r="B28" s="102">
        <v>0.6</v>
      </c>
      <c r="C28" s="101">
        <v>0.6</v>
      </c>
      <c r="D28" s="101">
        <v>0.6</v>
      </c>
      <c r="E28" s="101">
        <v>0.6</v>
      </c>
      <c r="F28" s="101">
        <v>0.6</v>
      </c>
      <c r="G28" s="15">
        <v>0.6</v>
      </c>
      <c r="H28" s="101">
        <v>0.60499999999999998</v>
      </c>
      <c r="I28" s="101">
        <v>0.61</v>
      </c>
      <c r="J28" s="101">
        <v>0.61499999999999999</v>
      </c>
      <c r="K28" s="101">
        <v>0.62</v>
      </c>
      <c r="L28" s="101">
        <v>0.625</v>
      </c>
      <c r="M28" s="101">
        <v>0.63</v>
      </c>
      <c r="N28" s="101">
        <v>0.63500000000000001</v>
      </c>
      <c r="O28" s="124">
        <v>0.64</v>
      </c>
      <c r="P28" s="101">
        <v>0.64500000000000002</v>
      </c>
      <c r="Q28" s="15">
        <v>0.65</v>
      </c>
      <c r="R28" s="101">
        <v>0.64500000000000002</v>
      </c>
      <c r="S28" s="15">
        <v>0.64</v>
      </c>
      <c r="T28" s="101">
        <v>0.63</v>
      </c>
      <c r="U28" s="15">
        <v>0.62</v>
      </c>
      <c r="V28" s="101">
        <v>0.625</v>
      </c>
      <c r="W28" s="15">
        <v>0.63</v>
      </c>
      <c r="X28" s="15"/>
      <c r="Y28" s="31" t="s">
        <v>115</v>
      </c>
      <c r="Z28" s="14"/>
      <c r="AB28" s="15">
        <f t="shared" si="0"/>
        <v>-3.9293490674361387E-3</v>
      </c>
      <c r="AC28" s="15">
        <f t="shared" si="1"/>
        <v>3.054039365340433E-3</v>
      </c>
      <c r="AD28" s="15">
        <f t="shared" si="2"/>
        <v>-6.9833884327765716E-3</v>
      </c>
      <c r="AE28"/>
      <c r="AF28"/>
      <c r="AG28"/>
      <c r="AH28"/>
      <c r="AI28"/>
      <c r="AJ28"/>
      <c r="AK28"/>
    </row>
    <row r="29" spans="1:37">
      <c r="A29" s="169" t="s">
        <v>35</v>
      </c>
      <c r="B29" s="101">
        <v>0.61</v>
      </c>
      <c r="C29" s="101">
        <v>0.61</v>
      </c>
      <c r="D29" s="101">
        <v>0.61</v>
      </c>
      <c r="E29" s="101">
        <v>0.61</v>
      </c>
      <c r="F29" s="101">
        <v>0.61</v>
      </c>
      <c r="G29" s="15">
        <v>0.61</v>
      </c>
      <c r="H29" s="101">
        <v>0.59599999999999997</v>
      </c>
      <c r="I29" s="101">
        <v>0.58199999999999996</v>
      </c>
      <c r="J29" s="101">
        <v>0.56799999999999995</v>
      </c>
      <c r="K29" s="101">
        <v>0.55399999999999994</v>
      </c>
      <c r="L29" s="101">
        <v>0.53999999999999992</v>
      </c>
      <c r="M29" s="101">
        <v>0.52599999999999991</v>
      </c>
      <c r="N29" s="101">
        <v>0.5119999999999999</v>
      </c>
      <c r="O29" s="101">
        <v>0.49799999999999989</v>
      </c>
      <c r="P29" s="101">
        <v>0.48399999999999987</v>
      </c>
      <c r="Q29" s="15">
        <v>0.47</v>
      </c>
      <c r="R29" s="101">
        <v>0.435</v>
      </c>
      <c r="S29" s="15">
        <v>0.4</v>
      </c>
      <c r="T29" s="101">
        <v>0.375</v>
      </c>
      <c r="U29" s="15">
        <v>0.35</v>
      </c>
      <c r="V29" s="101">
        <v>0.38</v>
      </c>
      <c r="W29" s="15">
        <v>0.41</v>
      </c>
      <c r="X29" s="15"/>
      <c r="Y29" s="31" t="s">
        <v>115</v>
      </c>
      <c r="Z29" s="14"/>
      <c r="AA29"/>
      <c r="AB29" s="15">
        <f t="shared" si="0"/>
        <v>6.192246325636086E-3</v>
      </c>
      <c r="AC29" s="15">
        <f t="shared" si="1"/>
        <v>-2.452560012306304E-2</v>
      </c>
      <c r="AD29" s="15">
        <f t="shared" si="2"/>
        <v>3.0717846448699127E-2</v>
      </c>
      <c r="AE29"/>
      <c r="AF29"/>
      <c r="AG29"/>
      <c r="AH29"/>
      <c r="AI29"/>
      <c r="AJ29"/>
      <c r="AK29"/>
    </row>
    <row r="30" spans="1:37">
      <c r="A30" s="169" t="s">
        <v>70</v>
      </c>
      <c r="B30" s="13">
        <v>4.1802388707926168</v>
      </c>
      <c r="C30" s="13">
        <v>4.3385109801821109</v>
      </c>
      <c r="D30" s="13">
        <v>4.4567510548523206</v>
      </c>
      <c r="E30" s="13">
        <v>4.9154746423927174</v>
      </c>
      <c r="F30" s="13">
        <v>5.0681759711860046</v>
      </c>
      <c r="G30" s="13">
        <v>5.4933875890132251</v>
      </c>
      <c r="H30" s="13">
        <v>7.2992700729926998</v>
      </c>
      <c r="I30" s="13">
        <v>9.0886454183266938</v>
      </c>
      <c r="J30" s="13">
        <v>11.116576487948842</v>
      </c>
      <c r="K30" s="13">
        <v>10.960232783705139</v>
      </c>
      <c r="L30" s="13">
        <v>10.397320872274143</v>
      </c>
      <c r="M30" s="13">
        <v>10.596443653618032</v>
      </c>
      <c r="N30" s="13">
        <v>10.181097503532737</v>
      </c>
      <c r="O30" s="13">
        <v>10.108186864014799</v>
      </c>
      <c r="P30" s="13">
        <v>9.8198620221669302</v>
      </c>
      <c r="Q30" s="13">
        <v>9.0226744699646648</v>
      </c>
      <c r="R30" s="13">
        <v>8.5774580645161294</v>
      </c>
      <c r="S30" s="13">
        <v>8.3837132043734215</v>
      </c>
      <c r="T30" s="13">
        <v>8.2529483220094715</v>
      </c>
      <c r="U30" s="13">
        <v>7.0799040191961611</v>
      </c>
      <c r="V30" s="13">
        <v>6.4387431156569637</v>
      </c>
      <c r="W30" s="13">
        <v>4.7055877773452703</v>
      </c>
      <c r="X30" s="13"/>
      <c r="Y30" s="31" t="s">
        <v>115</v>
      </c>
      <c r="Z30"/>
      <c r="AA30"/>
      <c r="AB30" s="15">
        <f t="shared" si="0"/>
        <v>-0.13444560392922622</v>
      </c>
      <c r="AC30" s="15">
        <f t="shared" si="1"/>
        <v>-9.6280024356891758E-3</v>
      </c>
      <c r="AD30" s="15">
        <f t="shared" si="2"/>
        <v>-0.12481760149353704</v>
      </c>
      <c r="AE30"/>
      <c r="AF30"/>
      <c r="AG30"/>
      <c r="AH30"/>
      <c r="AI30"/>
      <c r="AJ30"/>
      <c r="AK30"/>
    </row>
    <row r="31" spans="1:37">
      <c r="A31" s="169" t="s">
        <v>140</v>
      </c>
      <c r="B31" s="100">
        <v>6104.031209362809</v>
      </c>
      <c r="C31" s="100">
        <v>6104.031209362809</v>
      </c>
      <c r="D31" s="100">
        <v>6104.031209362809</v>
      </c>
      <c r="E31" s="9">
        <v>6104.031209362809</v>
      </c>
      <c r="F31" s="9">
        <v>7296.1152559814764</v>
      </c>
      <c r="G31" s="9">
        <v>6564.0895218718206</v>
      </c>
      <c r="H31" s="9">
        <v>7530.8331235841933</v>
      </c>
      <c r="I31" s="9">
        <v>6591.1354581673304</v>
      </c>
      <c r="J31" s="9">
        <v>5978.848991637974</v>
      </c>
      <c r="K31" s="9">
        <v>5630.4558680892342</v>
      </c>
      <c r="L31" s="9">
        <v>5279.1756530074281</v>
      </c>
      <c r="M31" s="9">
        <v>4937.1293001186241</v>
      </c>
      <c r="N31" s="9">
        <v>4161.5638247762599</v>
      </c>
      <c r="O31" s="9">
        <v>4440.3330249768733</v>
      </c>
      <c r="P31" s="9">
        <v>5231.8479981904547</v>
      </c>
      <c r="Q31" s="9">
        <v>5121.4664310954067</v>
      </c>
      <c r="R31" s="9">
        <v>5339.7849462365593</v>
      </c>
      <c r="S31" s="9">
        <v>5527.7544154751895</v>
      </c>
      <c r="T31" s="9">
        <v>5235.7422277125797</v>
      </c>
      <c r="U31" s="9">
        <v>4539.0921815636875</v>
      </c>
      <c r="V31" s="9">
        <v>4376.4752163650674</v>
      </c>
      <c r="W31" s="146">
        <v>4376.4752163650674</v>
      </c>
      <c r="X31" s="9"/>
      <c r="Y31" s="32" t="s">
        <v>114</v>
      </c>
      <c r="AB31" s="15">
        <f t="shared" si="0"/>
        <v>-5.6712817313641639E-2</v>
      </c>
      <c r="AC31" s="15">
        <f t="shared" si="1"/>
        <v>-2.5017380951427914E-2</v>
      </c>
      <c r="AD31" s="15">
        <f t="shared" si="2"/>
        <v>-3.1695436362213725E-2</v>
      </c>
      <c r="AF31"/>
      <c r="AG31"/>
      <c r="AH31"/>
      <c r="AI31"/>
      <c r="AJ31"/>
      <c r="AK31"/>
    </row>
    <row r="32" spans="1:37">
      <c r="A32" s="169" t="s">
        <v>155</v>
      </c>
      <c r="B32" s="101">
        <v>0.63</v>
      </c>
      <c r="C32" s="101">
        <v>0.63</v>
      </c>
      <c r="D32" s="101">
        <v>0.63</v>
      </c>
      <c r="E32" s="101">
        <v>0.63</v>
      </c>
      <c r="F32" s="101">
        <v>0.63</v>
      </c>
      <c r="G32" s="15">
        <v>0.63</v>
      </c>
      <c r="H32" s="101">
        <v>0.63200000000000001</v>
      </c>
      <c r="I32" s="101">
        <v>0.63400000000000001</v>
      </c>
      <c r="J32" s="101">
        <v>0.63600000000000001</v>
      </c>
      <c r="K32" s="101">
        <v>0.63800000000000001</v>
      </c>
      <c r="L32" s="101">
        <v>0.64</v>
      </c>
      <c r="M32" s="101">
        <v>0.64200000000000002</v>
      </c>
      <c r="N32" s="101">
        <v>0.64400000000000002</v>
      </c>
      <c r="O32" s="101">
        <v>0.64600000000000002</v>
      </c>
      <c r="P32" s="101">
        <v>0.64800000000000002</v>
      </c>
      <c r="Q32" s="15">
        <v>0.65</v>
      </c>
      <c r="R32" s="101">
        <v>0.63500000000000001</v>
      </c>
      <c r="S32" s="15">
        <v>0.62</v>
      </c>
      <c r="T32" s="101">
        <v>0.59000000000000008</v>
      </c>
      <c r="U32" s="15">
        <v>0.56000000000000005</v>
      </c>
      <c r="V32" s="206">
        <v>0.56499999999999995</v>
      </c>
      <c r="W32" s="15">
        <v>0.56999999999999995</v>
      </c>
      <c r="X32" s="15"/>
      <c r="Y32" s="31" t="s">
        <v>115</v>
      </c>
      <c r="Z32" s="14"/>
      <c r="AA32"/>
      <c r="AB32" s="15">
        <f t="shared" si="0"/>
        <v>-2.080138270634968E-2</v>
      </c>
      <c r="AC32" s="15">
        <f t="shared" si="1"/>
        <v>-6.2356930235647479E-3</v>
      </c>
      <c r="AD32" s="15">
        <f t="shared" si="2"/>
        <v>-1.4565689682784932E-2</v>
      </c>
      <c r="AE32"/>
      <c r="AF32"/>
      <c r="AG32"/>
      <c r="AH32"/>
      <c r="AI32"/>
      <c r="AJ32"/>
      <c r="AK32"/>
    </row>
    <row r="33" spans="1:37">
      <c r="A33" s="169" t="s">
        <v>36</v>
      </c>
      <c r="B33" s="10">
        <v>6.3873314138505805E-2</v>
      </c>
      <c r="C33" s="36">
        <v>6.2718222607706361E-2</v>
      </c>
      <c r="D33" s="36">
        <v>6.1563131076906918E-2</v>
      </c>
      <c r="E33" s="36">
        <v>6.0408039546107475E-2</v>
      </c>
      <c r="F33" s="36">
        <v>5.9252948015308032E-2</v>
      </c>
      <c r="G33" s="10">
        <v>5.8097856484508596E-2</v>
      </c>
      <c r="H33" s="36">
        <v>5.7338809676201384E-2</v>
      </c>
      <c r="I33" s="36">
        <v>5.6579762867894172E-2</v>
      </c>
      <c r="J33" s="36">
        <v>5.582071605958696E-2</v>
      </c>
      <c r="K33" s="36">
        <v>5.5061669251279748E-2</v>
      </c>
      <c r="L33" s="36">
        <v>5.4302622442972535E-2</v>
      </c>
      <c r="M33" s="36">
        <v>5.3543575634665323E-2</v>
      </c>
      <c r="N33" s="10">
        <v>5.2784528826358104E-2</v>
      </c>
      <c r="O33" s="36">
        <v>5.4027623061086487E-2</v>
      </c>
      <c r="P33" s="36">
        <v>5.527071729581487E-2</v>
      </c>
      <c r="Q33" s="36">
        <v>5.6513811530543252E-2</v>
      </c>
      <c r="R33" s="36">
        <v>5.7756905765271635E-2</v>
      </c>
      <c r="S33" s="10">
        <v>5.9000000000000004E-2</v>
      </c>
      <c r="T33" s="36">
        <v>5.9000000000000004E-2</v>
      </c>
      <c r="U33" s="36">
        <v>5.9000000000000004E-2</v>
      </c>
      <c r="V33" s="36">
        <v>5.9000000000000004E-2</v>
      </c>
      <c r="W33" s="36">
        <v>5.9000000000000004E-2</v>
      </c>
      <c r="X33" s="13"/>
      <c r="Y33" s="31" t="s">
        <v>115</v>
      </c>
      <c r="Z33" s="14"/>
      <c r="AA33"/>
      <c r="AB33" s="15">
        <f t="shared" si="0"/>
        <v>0</v>
      </c>
      <c r="AC33" s="15">
        <f t="shared" si="1"/>
        <v>9.6350601663908186E-4</v>
      </c>
      <c r="AD33" s="15">
        <f t="shared" si="2"/>
        <v>-9.6350601663908186E-4</v>
      </c>
      <c r="AE33"/>
      <c r="AF33"/>
      <c r="AG33"/>
      <c r="AH33"/>
      <c r="AI33"/>
      <c r="AJ33"/>
      <c r="AK33"/>
    </row>
    <row r="34" spans="1:37">
      <c r="A34" s="169" t="s">
        <v>82</v>
      </c>
      <c r="B34" s="48">
        <v>0.38609599886010615</v>
      </c>
      <c r="C34" s="48">
        <v>0.38609599886010615</v>
      </c>
      <c r="D34" s="48">
        <v>0.38609599886010615</v>
      </c>
      <c r="E34" s="48">
        <v>0.38609599886010615</v>
      </c>
      <c r="F34" s="48">
        <v>0.38609599886010615</v>
      </c>
      <c r="G34" s="48">
        <v>0.38609599886010615</v>
      </c>
      <c r="H34" s="99">
        <v>0.38609599886010615</v>
      </c>
      <c r="I34" s="48">
        <v>0.39800485668320346</v>
      </c>
      <c r="J34" s="48">
        <v>0.40991371450630076</v>
      </c>
      <c r="K34" s="99">
        <v>0.42182257232939802</v>
      </c>
      <c r="L34" s="48">
        <v>0.41452165742735125</v>
      </c>
      <c r="M34" s="48">
        <v>0.40722074252530449</v>
      </c>
      <c r="N34" s="99">
        <v>0.39991982762325778</v>
      </c>
      <c r="O34" s="48">
        <v>0.39230439931118055</v>
      </c>
      <c r="P34" s="48">
        <v>0.38468897099910332</v>
      </c>
      <c r="Q34" s="99">
        <v>0.37707354268702609</v>
      </c>
      <c r="R34" s="48">
        <v>0.39632285396469258</v>
      </c>
      <c r="S34" s="48">
        <v>0.41557216524235907</v>
      </c>
      <c r="T34" s="99">
        <v>0.43482147652002551</v>
      </c>
      <c r="U34" s="48">
        <v>0.41660906530178954</v>
      </c>
      <c r="V34" s="48">
        <v>0.39839665408355357</v>
      </c>
      <c r="W34" s="99">
        <v>0.3801842428653176</v>
      </c>
      <c r="X34" s="98"/>
      <c r="Y34" s="31" t="s">
        <v>115</v>
      </c>
      <c r="Z34" s="14"/>
      <c r="AA34"/>
      <c r="AB34" s="15">
        <f t="shared" si="0"/>
        <v>-2.2004367115866841E-2</v>
      </c>
      <c r="AC34" s="15">
        <f t="shared" si="1"/>
        <v>-9.6391359837633139E-4</v>
      </c>
      <c r="AD34" s="15">
        <f t="shared" si="2"/>
        <v>-2.1040453517490509E-2</v>
      </c>
      <c r="AE34"/>
      <c r="AF34"/>
      <c r="AG34"/>
      <c r="AH34"/>
      <c r="AI34"/>
      <c r="AJ34"/>
      <c r="AK34"/>
    </row>
    <row r="35" spans="1:37">
      <c r="A35" s="170" t="s">
        <v>18</v>
      </c>
      <c r="B35" s="14">
        <v>17</v>
      </c>
      <c r="C35" s="14">
        <v>17</v>
      </c>
      <c r="D35" s="14">
        <v>27</v>
      </c>
      <c r="E35" s="14">
        <v>50</v>
      </c>
      <c r="F35" s="14">
        <v>38</v>
      </c>
      <c r="G35" s="14">
        <v>47</v>
      </c>
      <c r="H35" s="14">
        <v>20</v>
      </c>
      <c r="I35" s="14">
        <v>28</v>
      </c>
      <c r="J35" s="14">
        <v>38</v>
      </c>
      <c r="K35" s="14">
        <v>22</v>
      </c>
      <c r="L35" s="14">
        <v>20</v>
      </c>
      <c r="M35" s="14">
        <v>17</v>
      </c>
      <c r="N35" s="14">
        <v>12</v>
      </c>
      <c r="O35" s="14">
        <v>11</v>
      </c>
      <c r="P35" s="14">
        <v>10</v>
      </c>
      <c r="Q35" s="14">
        <v>5</v>
      </c>
      <c r="R35" s="14">
        <v>12</v>
      </c>
      <c r="S35" s="14">
        <v>2</v>
      </c>
      <c r="T35" s="14">
        <v>5</v>
      </c>
      <c r="U35" s="14">
        <v>13</v>
      </c>
      <c r="V35" s="14">
        <v>39</v>
      </c>
      <c r="W35" s="14">
        <v>15</v>
      </c>
      <c r="Y35" s="32" t="s">
        <v>114</v>
      </c>
      <c r="Z35"/>
      <c r="AA35"/>
      <c r="AB35" s="15">
        <f t="shared" si="0"/>
        <v>0.65487545982343653</v>
      </c>
      <c r="AC35" s="15">
        <f t="shared" si="1"/>
        <v>-6.8893008763162289E-2</v>
      </c>
      <c r="AD35" s="15">
        <f t="shared" si="2"/>
        <v>0.72376846858659882</v>
      </c>
      <c r="AE35"/>
      <c r="AF35"/>
      <c r="AG35"/>
      <c r="AH35"/>
      <c r="AI35"/>
      <c r="AJ35"/>
      <c r="AK35"/>
    </row>
    <row r="36" spans="1:37">
      <c r="A36" s="170" t="s">
        <v>360</v>
      </c>
      <c r="B36" s="60">
        <v>0.40307692307692311</v>
      </c>
      <c r="C36" s="60">
        <v>0.40307692307692311</v>
      </c>
      <c r="D36" s="60">
        <v>0.40307692307692311</v>
      </c>
      <c r="E36" s="60">
        <v>0.40307692307692311</v>
      </c>
      <c r="F36" s="60">
        <v>0.40307692307692311</v>
      </c>
      <c r="G36" s="60">
        <v>0.40307692307692311</v>
      </c>
      <c r="H36" s="60">
        <v>0.40307692307692311</v>
      </c>
      <c r="I36" s="60">
        <v>0.40307692307692311</v>
      </c>
      <c r="J36" s="60">
        <v>0.40307692307692311</v>
      </c>
      <c r="K36" s="60">
        <v>0.40307692307692311</v>
      </c>
      <c r="L36" s="60">
        <v>0.40307692307692311</v>
      </c>
      <c r="M36" s="49">
        <v>0.40307692307692311</v>
      </c>
      <c r="N36" s="49">
        <v>0.38230769230769235</v>
      </c>
      <c r="O36" s="49">
        <v>0.3792307692307692</v>
      </c>
      <c r="P36" s="49">
        <v>0.38446153846153847</v>
      </c>
      <c r="Q36" s="49">
        <v>0.41219999999999996</v>
      </c>
      <c r="R36" s="49">
        <v>0.39726666666666666</v>
      </c>
      <c r="S36" s="49">
        <v>0.39433333333333331</v>
      </c>
      <c r="T36" s="49">
        <v>0.3596428571428571</v>
      </c>
      <c r="U36" s="49">
        <v>0.40404478780830483</v>
      </c>
      <c r="V36" s="49">
        <v>0.38586419462613525</v>
      </c>
      <c r="W36" s="205">
        <v>0.38586419462613525</v>
      </c>
      <c r="X36" s="49"/>
      <c r="Y36" s="31" t="s">
        <v>115</v>
      </c>
      <c r="Z36" s="14"/>
      <c r="AA36"/>
      <c r="AB36" s="15">
        <f t="shared" si="0"/>
        <v>-5.4130700369305895E-3</v>
      </c>
      <c r="AC36" s="15">
        <f t="shared" si="1"/>
        <v>-2.7239046516148724E-3</v>
      </c>
      <c r="AD36" s="15">
        <f t="shared" si="2"/>
        <v>-2.6891653853157171E-3</v>
      </c>
      <c r="AE36"/>
      <c r="AF36"/>
      <c r="AG36"/>
      <c r="AH36"/>
      <c r="AI36"/>
      <c r="AJ36"/>
      <c r="AK36"/>
    </row>
    <row r="37" spans="1:37">
      <c r="A37" s="170" t="s">
        <v>129</v>
      </c>
      <c r="B37" s="101">
        <v>0.7722</v>
      </c>
      <c r="C37" s="101">
        <v>0.7722</v>
      </c>
      <c r="D37" s="101">
        <v>0.7722</v>
      </c>
      <c r="E37" s="58">
        <v>0.7722</v>
      </c>
      <c r="F37" s="101">
        <v>0.79289999999999994</v>
      </c>
      <c r="G37" s="101">
        <v>0.81359999999999988</v>
      </c>
      <c r="H37" s="101">
        <v>0.83429999999999982</v>
      </c>
      <c r="I37" s="58">
        <v>0.85499999999999998</v>
      </c>
      <c r="J37" s="101">
        <v>0.86199999999999999</v>
      </c>
      <c r="K37" s="101">
        <v>0.86899999999999999</v>
      </c>
      <c r="L37" s="101">
        <v>0.876</v>
      </c>
      <c r="M37" s="101">
        <v>0.88300000000000001</v>
      </c>
      <c r="N37" s="58">
        <v>0.8899999999999999</v>
      </c>
      <c r="O37" s="101">
        <v>0.8866666666666666</v>
      </c>
      <c r="P37" s="101">
        <v>0.8833333333333333</v>
      </c>
      <c r="Q37" s="58">
        <v>0.88</v>
      </c>
      <c r="R37" s="101">
        <v>0.87666666666666671</v>
      </c>
      <c r="S37" s="101">
        <v>0.87333333333333341</v>
      </c>
      <c r="T37" s="58">
        <v>0.87</v>
      </c>
      <c r="U37" s="101">
        <v>0.85666666666666669</v>
      </c>
      <c r="V37" s="101">
        <v>0.84333333333333338</v>
      </c>
      <c r="W37" s="58">
        <v>0.83</v>
      </c>
      <c r="X37" s="58"/>
      <c r="Y37" s="31" t="s">
        <v>115</v>
      </c>
      <c r="Z37" s="14"/>
      <c r="AA37"/>
      <c r="AB37" s="15">
        <f t="shared" si="0"/>
        <v>-1.2642307867097746E-2</v>
      </c>
      <c r="AC37" s="15">
        <f t="shared" si="1"/>
        <v>1.2480817100528618E-3</v>
      </c>
      <c r="AD37" s="15">
        <f t="shared" si="2"/>
        <v>-1.3890389577150608E-2</v>
      </c>
      <c r="AE37"/>
      <c r="AF37"/>
      <c r="AG37"/>
      <c r="AH37"/>
      <c r="AI37"/>
      <c r="AJ37"/>
      <c r="AK37"/>
    </row>
    <row r="38" spans="1:37">
      <c r="A38" s="170" t="s">
        <v>80</v>
      </c>
      <c r="B38" s="125">
        <v>15.244999999999999</v>
      </c>
      <c r="C38" s="125">
        <v>15.244999999999999</v>
      </c>
      <c r="D38" s="125">
        <v>15.244999999999999</v>
      </c>
      <c r="E38" s="125">
        <v>15.244999999999999</v>
      </c>
      <c r="F38" s="125">
        <v>15.244999999999999</v>
      </c>
      <c r="G38" s="125">
        <v>15.244999999999999</v>
      </c>
      <c r="H38" s="203">
        <v>15.244999999999999</v>
      </c>
      <c r="I38" s="203">
        <v>16.949000000000002</v>
      </c>
      <c r="J38" s="203">
        <v>15.696</v>
      </c>
      <c r="K38" s="203">
        <v>14.734999999999999</v>
      </c>
      <c r="L38" s="203">
        <v>14.944000000000001</v>
      </c>
      <c r="M38" s="203">
        <v>16.198</v>
      </c>
      <c r="N38" s="203">
        <v>15.238</v>
      </c>
      <c r="O38" s="203">
        <v>15.122</v>
      </c>
      <c r="P38" s="203">
        <v>14.845000000000001</v>
      </c>
      <c r="Q38" s="203">
        <v>14.528</v>
      </c>
      <c r="R38" s="203">
        <v>14.653</v>
      </c>
      <c r="S38" s="203">
        <v>14.962999999999999</v>
      </c>
      <c r="T38" s="203">
        <v>16.035</v>
      </c>
      <c r="U38" s="203">
        <v>15.893000000000001</v>
      </c>
      <c r="V38" s="203">
        <v>16.216999999999999</v>
      </c>
      <c r="W38" s="207">
        <v>16.216999999999999</v>
      </c>
      <c r="X38" s="9"/>
      <c r="Y38" s="32" t="s">
        <v>114</v>
      </c>
      <c r="Z38"/>
      <c r="AA38"/>
      <c r="AB38" s="15">
        <f t="shared" si="0"/>
        <v>2.0323666321590439E-2</v>
      </c>
      <c r="AC38" s="15">
        <f t="shared" si="1"/>
        <v>3.8705020146987401E-3</v>
      </c>
      <c r="AD38" s="15">
        <f t="shared" si="2"/>
        <v>1.6453164306891699E-2</v>
      </c>
      <c r="AE38"/>
      <c r="AF38"/>
      <c r="AG38"/>
      <c r="AH38"/>
      <c r="AI38"/>
      <c r="AJ38"/>
      <c r="AK38"/>
    </row>
    <row r="39" spans="1:37">
      <c r="A39" s="170" t="s">
        <v>278</v>
      </c>
      <c r="B39" s="48">
        <v>0.27091084108612729</v>
      </c>
      <c r="C39" s="48">
        <v>0.27091084108612729</v>
      </c>
      <c r="D39" s="48">
        <v>0.27091084108612729</v>
      </c>
      <c r="E39" s="48">
        <v>0.27091084108612729</v>
      </c>
      <c r="F39" s="48">
        <v>0.27091084108612729</v>
      </c>
      <c r="G39" s="48">
        <v>0.27091084108612729</v>
      </c>
      <c r="H39" s="48">
        <v>0.27091084108612729</v>
      </c>
      <c r="I39" s="48">
        <v>0.27091084108612729</v>
      </c>
      <c r="J39" s="48">
        <v>0.27091084108612729</v>
      </c>
      <c r="K39" s="48">
        <v>0.27091084108612729</v>
      </c>
      <c r="L39" s="48">
        <v>0.27091084108612729</v>
      </c>
      <c r="M39" s="10">
        <v>0.27091084108612729</v>
      </c>
      <c r="N39" s="48">
        <v>0.27088608756622357</v>
      </c>
      <c r="O39" s="48">
        <v>0.27086133404631985</v>
      </c>
      <c r="P39" s="48">
        <v>0.27083658052641613</v>
      </c>
      <c r="Q39" s="48">
        <v>0.27081182700651241</v>
      </c>
      <c r="R39" s="48">
        <v>0.27078707348660869</v>
      </c>
      <c r="S39" s="10">
        <v>0.27076231996670491</v>
      </c>
      <c r="T39" s="48">
        <v>0.27076231996670491</v>
      </c>
      <c r="U39" s="148">
        <v>0.27076231996670491</v>
      </c>
      <c r="V39" s="196">
        <v>0.27076231996670491</v>
      </c>
      <c r="W39" s="148">
        <v>0.27076231996670491</v>
      </c>
      <c r="X39" s="99"/>
      <c r="Y39" s="31" t="s">
        <v>115</v>
      </c>
      <c r="Z39" s="14"/>
      <c r="AA39"/>
      <c r="AB39" s="15">
        <f t="shared" si="0"/>
        <v>0</v>
      </c>
      <c r="AC39" s="15">
        <f t="shared" si="1"/>
        <v>-3.4273107075488696E-5</v>
      </c>
      <c r="AD39" s="15">
        <f t="shared" si="2"/>
        <v>3.4273107075488696E-5</v>
      </c>
      <c r="AE39"/>
      <c r="AF39"/>
      <c r="AG39"/>
      <c r="AH39"/>
      <c r="AI39"/>
      <c r="AJ39"/>
      <c r="AK39"/>
    </row>
    <row r="40" spans="1:37">
      <c r="A40" s="170" t="s">
        <v>72</v>
      </c>
      <c r="B40" s="36">
        <v>0.66200000000000003</v>
      </c>
      <c r="C40" s="36">
        <v>0.66200000000000003</v>
      </c>
      <c r="D40" s="36">
        <v>0.66200000000000003</v>
      </c>
      <c r="E40" s="36">
        <v>0.66200000000000003</v>
      </c>
      <c r="F40" s="36">
        <v>0.66200000000000003</v>
      </c>
      <c r="G40" s="36">
        <v>0.66200000000000003</v>
      </c>
      <c r="H40" s="36">
        <v>0.66200000000000003</v>
      </c>
      <c r="I40" s="10">
        <v>0.66200000000000003</v>
      </c>
      <c r="J40" s="36">
        <v>0.6885</v>
      </c>
      <c r="K40" s="10">
        <v>0.71499999999999997</v>
      </c>
      <c r="L40" s="36">
        <v>0.70899999999999996</v>
      </c>
      <c r="M40" s="10">
        <v>0.70299999999999996</v>
      </c>
      <c r="N40" s="36">
        <v>0.70299999999999996</v>
      </c>
      <c r="O40" s="36">
        <v>0.70299999999999996</v>
      </c>
      <c r="P40" s="36">
        <v>0.70299999999999996</v>
      </c>
      <c r="Q40" s="36">
        <v>0.70299999999999996</v>
      </c>
      <c r="R40" s="36">
        <v>0.70299999999999996</v>
      </c>
      <c r="S40" s="36">
        <v>0.70299999999999996</v>
      </c>
      <c r="T40" s="36">
        <v>0.70299999999999996</v>
      </c>
      <c r="U40" s="133">
        <v>0.70299999999999996</v>
      </c>
      <c r="V40" s="196">
        <v>0.70299999999999996</v>
      </c>
      <c r="W40" s="133">
        <v>0.70299999999999996</v>
      </c>
      <c r="X40" s="10"/>
      <c r="Y40" s="31" t="s">
        <v>115</v>
      </c>
      <c r="Z40"/>
      <c r="AA40"/>
      <c r="AB40" s="15">
        <f t="shared" si="0"/>
        <v>0</v>
      </c>
      <c r="AC40" s="15">
        <f t="shared" si="1"/>
        <v>3.7627700028000088E-3</v>
      </c>
      <c r="AD40" s="15">
        <f t="shared" si="2"/>
        <v>-3.7627700028000088E-3</v>
      </c>
      <c r="AE40"/>
      <c r="AF40"/>
      <c r="AG40"/>
      <c r="AH40"/>
      <c r="AI40"/>
      <c r="AJ40"/>
      <c r="AK40"/>
    </row>
    <row r="41" spans="1:37">
      <c r="A41" s="170" t="s">
        <v>493</v>
      </c>
      <c r="B41" s="100">
        <v>11976</v>
      </c>
      <c r="C41" s="9">
        <v>11976</v>
      </c>
      <c r="D41" s="100">
        <v>12623.666666666666</v>
      </c>
      <c r="E41" s="100">
        <v>13271.333333333332</v>
      </c>
      <c r="F41" s="100">
        <v>13918.999999999998</v>
      </c>
      <c r="G41" s="100">
        <v>14566.666666666664</v>
      </c>
      <c r="H41" s="100">
        <v>15214.33333333333</v>
      </c>
      <c r="I41" s="9">
        <v>15862</v>
      </c>
      <c r="J41" s="100">
        <v>16140.25</v>
      </c>
      <c r="K41" s="100">
        <v>16418.5</v>
      </c>
      <c r="L41" s="100">
        <v>16696.75</v>
      </c>
      <c r="M41" s="9">
        <v>16975</v>
      </c>
      <c r="N41" s="100">
        <v>17337.142857142859</v>
      </c>
      <c r="O41" s="100">
        <v>17699.285714285717</v>
      </c>
      <c r="P41" s="100">
        <v>18061.428571428576</v>
      </c>
      <c r="Q41" s="100">
        <v>18423.571428571435</v>
      </c>
      <c r="R41" s="100">
        <v>18785.714285714294</v>
      </c>
      <c r="S41" s="100">
        <v>19147.857142857152</v>
      </c>
      <c r="T41" s="9">
        <v>19510</v>
      </c>
      <c r="U41" s="146">
        <v>19510</v>
      </c>
      <c r="V41" s="146">
        <v>19510</v>
      </c>
      <c r="W41" s="146">
        <v>19510</v>
      </c>
      <c r="X41" s="9"/>
      <c r="Y41" s="32" t="s">
        <v>114</v>
      </c>
      <c r="Z41" s="14"/>
      <c r="AA41"/>
      <c r="AB41" s="15">
        <f t="shared" si="0"/>
        <v>4.6950734330428734E-3</v>
      </c>
      <c r="AC41" s="15">
        <f t="shared" si="1"/>
        <v>1.8429728104305543E-2</v>
      </c>
      <c r="AD41" s="15">
        <f t="shared" si="2"/>
        <v>-1.3734654671262669E-2</v>
      </c>
      <c r="AE41"/>
      <c r="AF41"/>
      <c r="AG41"/>
      <c r="AH41"/>
      <c r="AI41"/>
      <c r="AJ41"/>
      <c r="AK41"/>
    </row>
    <row r="42" spans="1:37">
      <c r="A42" s="170" t="s">
        <v>41</v>
      </c>
      <c r="B42" s="36">
        <v>0.28999999999999998</v>
      </c>
      <c r="C42" s="36">
        <v>0.28999999999999998</v>
      </c>
      <c r="D42" s="36">
        <v>0.28999999999999998</v>
      </c>
      <c r="E42" s="36">
        <v>0.28999999999999998</v>
      </c>
      <c r="F42" s="36">
        <v>0.28999999999999998</v>
      </c>
      <c r="G42" s="36">
        <v>0.28999999999999998</v>
      </c>
      <c r="H42" s="10">
        <v>0.28999999999999998</v>
      </c>
      <c r="I42" s="10">
        <v>0.28999999999999998</v>
      </c>
      <c r="J42" s="36">
        <v>0.28999999999999998</v>
      </c>
      <c r="K42" s="36">
        <v>0.28999999999999998</v>
      </c>
      <c r="L42" s="36">
        <v>0.28999999999999998</v>
      </c>
      <c r="M42" s="10">
        <v>0.28999999999999998</v>
      </c>
      <c r="N42" s="10">
        <v>0.28999999999999998</v>
      </c>
      <c r="O42" s="10">
        <v>0.28000000000000003</v>
      </c>
      <c r="P42" s="10">
        <v>0.27900000000000003</v>
      </c>
      <c r="Q42" s="10">
        <v>0.28000000000000003</v>
      </c>
      <c r="R42" s="10">
        <v>0.28000000000000003</v>
      </c>
      <c r="S42" s="10">
        <v>0.28999999999999998</v>
      </c>
      <c r="T42" s="10">
        <v>0.28999999999999998</v>
      </c>
      <c r="U42" s="10">
        <v>0.28999999999999998</v>
      </c>
      <c r="V42" s="10">
        <v>0.28999999999999998</v>
      </c>
      <c r="W42" s="10">
        <v>0.28999999999999998</v>
      </c>
      <c r="X42" s="10"/>
      <c r="Y42" s="32" t="s">
        <v>114</v>
      </c>
      <c r="Z42" s="14"/>
      <c r="AA42"/>
      <c r="AB42" s="15">
        <f t="shared" si="0"/>
        <v>0</v>
      </c>
      <c r="AC42" s="15">
        <f t="shared" si="1"/>
        <v>0</v>
      </c>
      <c r="AD42" s="15">
        <f t="shared" si="2"/>
        <v>0</v>
      </c>
      <c r="AE42"/>
      <c r="AF42"/>
      <c r="AG42"/>
      <c r="AH42"/>
      <c r="AI42"/>
      <c r="AJ42"/>
      <c r="AK42"/>
    </row>
    <row r="43" spans="1:37">
      <c r="A43" s="170" t="s">
        <v>162</v>
      </c>
      <c r="B43" s="105">
        <v>0.87059896200351217</v>
      </c>
      <c r="C43" s="105">
        <v>0.87059896200351217</v>
      </c>
      <c r="D43" s="104">
        <v>0.87059896200351217</v>
      </c>
      <c r="E43" s="104">
        <v>0.87232115359929863</v>
      </c>
      <c r="F43" s="104">
        <v>0.85883163138439811</v>
      </c>
      <c r="G43" s="104">
        <v>0.88015397716035138</v>
      </c>
      <c r="H43" s="104">
        <v>0.86109108885094854</v>
      </c>
      <c r="I43" s="104">
        <v>0.88353549758854943</v>
      </c>
      <c r="J43" s="104">
        <v>0.85193038814342748</v>
      </c>
      <c r="K43" s="104">
        <v>0.82304905457192712</v>
      </c>
      <c r="L43" s="104">
        <v>0.85365135740799813</v>
      </c>
      <c r="M43" s="104">
        <v>0.82487331406791742</v>
      </c>
      <c r="N43" s="104">
        <v>0.79792220091203347</v>
      </c>
      <c r="O43" s="104">
        <v>0.77060473638778293</v>
      </c>
      <c r="P43" s="104">
        <v>0.77617765209306155</v>
      </c>
      <c r="Q43" s="104">
        <v>0.83057811544843252</v>
      </c>
      <c r="R43" s="104">
        <v>0.84989654917608815</v>
      </c>
      <c r="S43" s="104">
        <v>0.82187916890851054</v>
      </c>
      <c r="T43" s="104">
        <v>0.87553936836866142</v>
      </c>
      <c r="U43" s="104">
        <v>0.89572993881859786</v>
      </c>
      <c r="V43" s="195">
        <v>0.92342184345574752</v>
      </c>
      <c r="W43" s="195">
        <v>0.91</v>
      </c>
      <c r="X43" s="87"/>
      <c r="Y43" s="31" t="s">
        <v>115</v>
      </c>
      <c r="Z43"/>
      <c r="AA43"/>
      <c r="AB43" s="15">
        <f t="shared" si="0"/>
        <v>2.5789749188041666E-2</v>
      </c>
      <c r="AC43" s="15">
        <f t="shared" si="1"/>
        <v>2.0864068552559623E-3</v>
      </c>
      <c r="AD43" s="15">
        <f>AB43-AC43</f>
        <v>2.3703342332785704E-2</v>
      </c>
      <c r="AE43"/>
      <c r="AF43"/>
      <c r="AG43"/>
      <c r="AH43"/>
      <c r="AI43"/>
      <c r="AJ43"/>
      <c r="AK43"/>
    </row>
    <row r="44" spans="1:37">
      <c r="A44" s="170" t="s">
        <v>166</v>
      </c>
      <c r="B44" s="47">
        <v>222000</v>
      </c>
      <c r="C44" s="47">
        <v>222000</v>
      </c>
      <c r="D44" s="47">
        <v>222000</v>
      </c>
      <c r="E44" s="47">
        <v>222000</v>
      </c>
      <c r="F44" s="47">
        <v>222000</v>
      </c>
      <c r="G44" s="9">
        <v>222000</v>
      </c>
      <c r="H44" s="47">
        <v>222814.5</v>
      </c>
      <c r="I44" s="47">
        <v>223629</v>
      </c>
      <c r="J44" s="47">
        <v>224443.5</v>
      </c>
      <c r="K44" s="47">
        <v>225258</v>
      </c>
      <c r="L44" s="47">
        <v>226072.5</v>
      </c>
      <c r="M44" s="9">
        <v>226887</v>
      </c>
      <c r="N44" s="47">
        <v>227499</v>
      </c>
      <c r="O44" s="47">
        <v>228111</v>
      </c>
      <c r="P44" s="9">
        <v>228723</v>
      </c>
      <c r="Q44" s="47">
        <v>224732</v>
      </c>
      <c r="R44" s="9">
        <v>220741</v>
      </c>
      <c r="S44" s="47">
        <v>250122.33333333334</v>
      </c>
      <c r="T44" s="47">
        <v>279503.66666666669</v>
      </c>
      <c r="U44" s="9">
        <v>308885</v>
      </c>
      <c r="V44" s="146">
        <v>308885</v>
      </c>
      <c r="W44" s="146">
        <v>308885</v>
      </c>
      <c r="X44" s="9"/>
      <c r="Y44" s="32" t="s">
        <v>114</v>
      </c>
      <c r="Z44"/>
      <c r="AA44"/>
      <c r="AB44" s="15">
        <f t="shared" si="0"/>
        <v>5.4171053666270508E-2</v>
      </c>
      <c r="AC44" s="15">
        <f t="shared" si="1"/>
        <v>2.0857773793909296E-2</v>
      </c>
      <c r="AD44" s="15">
        <f t="shared" ref="AD44" si="3">AB44-AC44</f>
        <v>3.3313279872361212E-2</v>
      </c>
      <c r="AE44"/>
      <c r="AF44"/>
      <c r="AG44"/>
      <c r="AH44"/>
      <c r="AI44"/>
      <c r="AJ44"/>
      <c r="AK44"/>
    </row>
    <row r="46" spans="1:37">
      <c r="D46" s="61"/>
      <c r="E46" s="61"/>
      <c r="F46" s="61"/>
      <c r="G46" s="61"/>
      <c r="H46" s="61"/>
      <c r="I46" s="61"/>
      <c r="J46" s="61"/>
      <c r="K46" s="61"/>
      <c r="L46" s="61"/>
      <c r="M46" s="61"/>
      <c r="N46" s="61"/>
      <c r="O46" s="61"/>
    </row>
    <row r="47" spans="1:37">
      <c r="D47" s="15"/>
      <c r="E47" s="15"/>
      <c r="F47" s="15"/>
      <c r="G47" s="15"/>
      <c r="H47" s="15"/>
      <c r="I47" s="15"/>
      <c r="J47" s="15"/>
      <c r="K47" s="15"/>
      <c r="L47" s="15"/>
      <c r="M47" s="15"/>
      <c r="N47" s="15"/>
      <c r="O47" s="15"/>
      <c r="P47" s="15"/>
      <c r="Q47" s="15"/>
      <c r="R47" s="15"/>
      <c r="S47" s="15"/>
      <c r="T47" s="15"/>
      <c r="U47" s="15"/>
      <c r="V47" s="15"/>
      <c r="W47" s="15"/>
      <c r="X47" s="15"/>
      <c r="Y47" s="27"/>
      <c r="AK47"/>
    </row>
    <row r="48" spans="1:37">
      <c r="G48" s="13"/>
      <c r="H48" s="13"/>
      <c r="I48" s="13"/>
      <c r="J48" s="13"/>
      <c r="K48" s="13"/>
      <c r="L48" s="13"/>
      <c r="M48" s="13"/>
      <c r="N48" s="13"/>
      <c r="O48" s="13"/>
      <c r="P48" s="13"/>
      <c r="Q48" s="13"/>
      <c r="R48" s="13"/>
      <c r="S48" s="13"/>
      <c r="T48" s="13"/>
      <c r="U48" s="13"/>
      <c r="V48" s="13"/>
      <c r="W48" s="13"/>
      <c r="X48" s="13"/>
      <c r="Y48" s="27"/>
      <c r="AK48"/>
    </row>
    <row r="49" spans="25:37">
      <c r="Y49" s="27"/>
      <c r="AK49"/>
    </row>
    <row r="50" spans="25:37">
      <c r="Y50" s="27"/>
      <c r="AK50"/>
    </row>
    <row r="51" spans="25:37">
      <c r="Y51" s="27"/>
      <c r="AK51"/>
    </row>
    <row r="52" spans="25:37">
      <c r="Y52" s="27"/>
      <c r="AK52"/>
    </row>
    <row r="53" spans="25:37">
      <c r="Y53" s="27"/>
      <c r="AK53"/>
    </row>
    <row r="54" spans="25:37">
      <c r="Y54" s="27"/>
      <c r="AK54"/>
    </row>
    <row r="55" spans="25:37">
      <c r="Y55" s="27"/>
      <c r="AK55"/>
    </row>
    <row r="56" spans="25:37">
      <c r="Y56" s="27"/>
      <c r="AK56"/>
    </row>
    <row r="57" spans="25:37">
      <c r="Y57" s="27"/>
      <c r="AK57"/>
    </row>
    <row r="58" spans="25:37">
      <c r="Y58" s="27"/>
      <c r="AK58"/>
    </row>
    <row r="59" spans="25:37">
      <c r="Y59" s="27"/>
      <c r="AK59"/>
    </row>
    <row r="60" spans="25:37">
      <c r="Y60" s="27"/>
      <c r="AK60"/>
    </row>
    <row r="61" spans="25:37">
      <c r="Y61" s="27"/>
      <c r="AK61"/>
    </row>
    <row r="62" spans="25:37">
      <c r="Y62" s="27"/>
      <c r="AK62"/>
    </row>
    <row r="63" spans="25:37">
      <c r="Y63" s="27"/>
      <c r="AK63"/>
    </row>
    <row r="64" spans="25:37">
      <c r="Y64" s="27"/>
      <c r="AK64"/>
    </row>
    <row r="65" spans="25:37">
      <c r="Y65" s="27"/>
      <c r="AK65"/>
    </row>
    <row r="66" spans="25:37">
      <c r="Y66" s="27"/>
      <c r="AK66"/>
    </row>
    <row r="67" spans="25:37">
      <c r="Y67" s="27"/>
      <c r="AK67"/>
    </row>
    <row r="68" spans="25:37">
      <c r="Y68" s="27"/>
      <c r="AK68"/>
    </row>
    <row r="69" spans="25:37">
      <c r="Y69" s="27"/>
      <c r="AK69"/>
    </row>
    <row r="70" spans="25:37">
      <c r="Y70" s="27"/>
      <c r="AK70"/>
    </row>
    <row r="71" spans="25:37">
      <c r="Y71" s="27"/>
      <c r="AK71"/>
    </row>
    <row r="72" spans="25:37">
      <c r="Y72" s="27"/>
      <c r="AK72"/>
    </row>
    <row r="73" spans="25:37">
      <c r="Y73" s="27"/>
      <c r="AK73"/>
    </row>
    <row r="74" spans="25:37">
      <c r="Y74" s="27"/>
      <c r="AK74"/>
    </row>
    <row r="75" spans="25:37">
      <c r="Y75" s="27"/>
      <c r="AK75"/>
    </row>
    <row r="76" spans="25:37">
      <c r="Y76" s="27"/>
      <c r="AK76"/>
    </row>
    <row r="77" spans="25:37">
      <c r="Y77" s="27"/>
      <c r="AK77"/>
    </row>
    <row r="78" spans="25:37">
      <c r="Y78" s="27"/>
      <c r="AK78"/>
    </row>
    <row r="79" spans="25:37">
      <c r="Y79" s="27"/>
      <c r="AK79"/>
    </row>
    <row r="80" spans="25:37">
      <c r="Y80" s="27"/>
      <c r="AK80"/>
    </row>
    <row r="81" spans="25:37">
      <c r="Y81" s="27"/>
      <c r="AK81"/>
    </row>
    <row r="82" spans="25:37">
      <c r="Y82" s="27"/>
      <c r="AK82"/>
    </row>
    <row r="83" spans="25:37">
      <c r="Y83" s="27"/>
      <c r="AK83"/>
    </row>
    <row r="84" spans="25:37">
      <c r="Y84" s="27"/>
      <c r="AK84"/>
    </row>
    <row r="85" spans="25:37">
      <c r="Y85" s="27"/>
      <c r="AK85"/>
    </row>
    <row r="86" spans="25:37">
      <c r="Y86" s="27"/>
      <c r="AK86"/>
    </row>
    <row r="87" spans="25:37">
      <c r="Y87" s="27"/>
      <c r="AK87"/>
    </row>
    <row r="88" spans="25:37">
      <c r="Y88" s="27"/>
      <c r="AK88"/>
    </row>
    <row r="89" spans="25:37">
      <c r="Y89" s="27"/>
      <c r="AK89"/>
    </row>
    <row r="90" spans="25:37">
      <c r="Y90" s="27"/>
      <c r="AK90"/>
    </row>
    <row r="91" spans="25:37">
      <c r="Y91" s="27"/>
      <c r="AK91"/>
    </row>
    <row r="92" spans="25:37">
      <c r="Y92" s="27"/>
      <c r="AK92"/>
    </row>
    <row r="93" spans="25:37">
      <c r="Y93" s="27"/>
      <c r="AK93"/>
    </row>
    <row r="94" spans="25:37">
      <c r="Y94" s="27"/>
      <c r="AK94"/>
    </row>
    <row r="95" spans="25:37">
      <c r="Y95" s="27"/>
      <c r="AK95"/>
    </row>
    <row r="96" spans="25:37">
      <c r="Y96" s="27"/>
      <c r="AK96"/>
    </row>
    <row r="97" spans="25:37">
      <c r="Y97" s="27"/>
      <c r="AK97"/>
    </row>
    <row r="98" spans="25:37">
      <c r="Y98" s="27"/>
      <c r="AK98"/>
    </row>
    <row r="99" spans="25:37">
      <c r="Y99" s="27"/>
      <c r="AK99"/>
    </row>
    <row r="100" spans="25:37">
      <c r="Y100" s="27"/>
      <c r="AK100"/>
    </row>
    <row r="101" spans="25:37">
      <c r="Y101" s="27"/>
      <c r="AK101"/>
    </row>
    <row r="102" spans="25:37">
      <c r="Y102" s="27"/>
      <c r="AK102"/>
    </row>
    <row r="103" spans="25:37">
      <c r="Y103" s="27"/>
      <c r="AK103"/>
    </row>
    <row r="104" spans="25:37">
      <c r="Y104" s="27"/>
      <c r="AK104"/>
    </row>
    <row r="105" spans="25:37">
      <c r="Y105" s="27"/>
      <c r="AK105"/>
    </row>
    <row r="106" spans="25:37">
      <c r="Y106" s="27"/>
      <c r="AK106"/>
    </row>
    <row r="107" spans="25:37">
      <c r="Y107" s="27"/>
      <c r="AK107"/>
    </row>
    <row r="108" spans="25:37">
      <c r="Y108" s="27"/>
      <c r="AK108"/>
    </row>
    <row r="109" spans="25:37">
      <c r="Y109" s="27"/>
      <c r="AK109"/>
    </row>
    <row r="110" spans="25:37">
      <c r="Y110" s="27"/>
      <c r="AK110"/>
    </row>
    <row r="111" spans="25:37">
      <c r="Y111" s="27"/>
      <c r="AK111"/>
    </row>
    <row r="112" spans="25:37">
      <c r="Y112" s="27"/>
      <c r="AK112"/>
    </row>
    <row r="113" spans="25:37">
      <c r="Y113" s="27"/>
      <c r="AK113"/>
    </row>
    <row r="114" spans="25:37">
      <c r="Y114" s="27"/>
      <c r="AK114"/>
    </row>
    <row r="115" spans="25:37">
      <c r="Y115" s="27"/>
      <c r="AK115"/>
    </row>
    <row r="116" spans="25:37">
      <c r="Y116" s="27"/>
      <c r="AK116"/>
    </row>
    <row r="117" spans="25:37">
      <c r="Y117" s="27"/>
      <c r="AK117"/>
    </row>
    <row r="118" spans="25:37">
      <c r="Y118" s="27"/>
      <c r="AK118"/>
    </row>
    <row r="119" spans="25:37">
      <c r="Y119" s="27"/>
      <c r="AK119"/>
    </row>
    <row r="120" spans="25:37">
      <c r="Y120" s="27"/>
      <c r="AK120"/>
    </row>
    <row r="121" spans="25:37">
      <c r="Y121" s="27"/>
      <c r="AK121"/>
    </row>
    <row r="122" spans="25:37">
      <c r="Y122" s="27"/>
      <c r="AK122"/>
    </row>
    <row r="123" spans="25:37">
      <c r="Y123" s="27"/>
      <c r="AK123"/>
    </row>
    <row r="124" spans="25:37">
      <c r="Y124" s="27"/>
      <c r="AK124"/>
    </row>
    <row r="125" spans="25:37">
      <c r="Y125" s="27"/>
      <c r="AK125"/>
    </row>
    <row r="126" spans="25:37">
      <c r="Y126" s="27"/>
      <c r="AK126"/>
    </row>
    <row r="127" spans="25:37">
      <c r="Y127" s="27"/>
      <c r="AK127"/>
    </row>
    <row r="128" spans="25:37">
      <c r="Y128" s="27"/>
      <c r="AK128"/>
    </row>
    <row r="129" spans="25:37">
      <c r="Y129" s="27"/>
      <c r="AK129"/>
    </row>
    <row r="130" spans="25:37">
      <c r="Y130" s="27"/>
      <c r="AK130"/>
    </row>
    <row r="131" spans="25:37">
      <c r="Y131" s="27"/>
      <c r="AK131"/>
    </row>
    <row r="132" spans="25:37">
      <c r="Y132" s="27"/>
      <c r="AK132"/>
    </row>
    <row r="133" spans="25:37">
      <c r="Y133" s="27"/>
      <c r="AK133"/>
    </row>
    <row r="134" spans="25:37">
      <c r="Y134" s="27"/>
      <c r="AK134"/>
    </row>
    <row r="135" spans="25:37">
      <c r="Y135" s="27"/>
      <c r="AK135"/>
    </row>
    <row r="136" spans="25:37">
      <c r="Y136" s="27"/>
      <c r="AK136"/>
    </row>
    <row r="137" spans="25:37">
      <c r="Y137" s="27"/>
      <c r="AK137"/>
    </row>
    <row r="138" spans="25:37">
      <c r="Y138" s="27"/>
      <c r="AK138"/>
    </row>
    <row r="139" spans="25:37">
      <c r="Y139" s="27"/>
      <c r="AK139"/>
    </row>
    <row r="140" spans="25:37">
      <c r="Y140" s="27"/>
      <c r="AK140"/>
    </row>
    <row r="141" spans="25:37">
      <c r="Y141" s="27"/>
      <c r="AK141"/>
    </row>
    <row r="142" spans="25:37">
      <c r="Y142" s="27"/>
      <c r="AK142"/>
    </row>
    <row r="143" spans="25:37">
      <c r="Y143" s="27"/>
      <c r="AK143"/>
    </row>
    <row r="144" spans="25:37">
      <c r="Y144" s="27"/>
      <c r="AK144"/>
    </row>
    <row r="145" spans="25:37">
      <c r="Y145" s="27"/>
      <c r="AK145"/>
    </row>
    <row r="146" spans="25:37">
      <c r="Y146" s="27"/>
      <c r="AK146"/>
    </row>
    <row r="147" spans="25:37">
      <c r="Y147" s="27"/>
      <c r="AK147"/>
    </row>
    <row r="148" spans="25:37">
      <c r="Y148" s="27"/>
      <c r="AK148"/>
    </row>
    <row r="149" spans="25:37">
      <c r="Y149" s="27"/>
      <c r="AK149"/>
    </row>
    <row r="150" spans="25:37">
      <c r="Y150" s="27"/>
      <c r="AK150"/>
    </row>
    <row r="151" spans="25:37">
      <c r="Y151" s="27"/>
      <c r="AK151"/>
    </row>
    <row r="152" spans="25:37">
      <c r="Y152" s="27"/>
      <c r="AK152"/>
    </row>
    <row r="153" spans="25:37">
      <c r="Y153" s="27"/>
      <c r="AK153"/>
    </row>
    <row r="154" spans="25:37">
      <c r="Y154" s="27"/>
      <c r="AK154"/>
    </row>
    <row r="155" spans="25:37">
      <c r="Y155" s="27"/>
      <c r="AK155"/>
    </row>
    <row r="156" spans="25:37">
      <c r="Y156" s="27"/>
      <c r="AK156"/>
    </row>
    <row r="157" spans="25:37">
      <c r="Y157" s="27"/>
      <c r="AK157"/>
    </row>
    <row r="158" spans="25:37">
      <c r="Y158" s="27"/>
      <c r="AK158"/>
    </row>
    <row r="159" spans="25:37">
      <c r="Y159" s="27"/>
      <c r="AK159"/>
    </row>
    <row r="160" spans="25:37">
      <c r="Y160" s="27"/>
      <c r="AK160"/>
    </row>
    <row r="161" spans="25:37">
      <c r="Y161" s="27"/>
      <c r="AK161"/>
    </row>
    <row r="162" spans="25:37">
      <c r="Y162" s="27"/>
      <c r="AK162"/>
    </row>
    <row r="163" spans="25:37">
      <c r="Y163" s="27"/>
      <c r="AK163"/>
    </row>
    <row r="164" spans="25:37">
      <c r="Y164" s="27"/>
      <c r="AK164"/>
    </row>
    <row r="165" spans="25:37">
      <c r="Y165" s="27"/>
      <c r="AK165"/>
    </row>
    <row r="166" spans="25:37">
      <c r="Y166" s="27"/>
      <c r="AK166"/>
    </row>
    <row r="167" spans="25:37">
      <c r="Y167" s="27"/>
      <c r="AK167"/>
    </row>
    <row r="168" spans="25:37">
      <c r="Y168" s="27"/>
      <c r="AK168"/>
    </row>
    <row r="169" spans="25:37">
      <c r="Y169" s="27"/>
      <c r="AK169"/>
    </row>
    <row r="170" spans="25:37">
      <c r="Y170" s="27"/>
      <c r="AK170"/>
    </row>
    <row r="171" spans="25:37">
      <c r="Y171" s="27"/>
      <c r="AK171"/>
    </row>
    <row r="172" spans="25:37">
      <c r="Y172" s="27"/>
      <c r="AK172"/>
    </row>
    <row r="173" spans="25:37">
      <c r="Y173" s="27"/>
      <c r="AK173"/>
    </row>
    <row r="174" spans="25:37">
      <c r="Y174" s="27"/>
      <c r="AK174"/>
    </row>
    <row r="175" spans="25:37">
      <c r="Y175" s="27"/>
      <c r="AK175"/>
    </row>
    <row r="176" spans="25:37">
      <c r="Y176" s="27"/>
      <c r="AK176"/>
    </row>
    <row r="177" spans="25:37">
      <c r="Y177" s="27"/>
      <c r="AK177"/>
    </row>
    <row r="178" spans="25:37">
      <c r="Y178" s="27"/>
      <c r="AK178"/>
    </row>
    <row r="179" spans="25:37">
      <c r="Y179" s="27"/>
      <c r="AK179"/>
    </row>
    <row r="180" spans="25:37">
      <c r="Y180" s="27"/>
      <c r="AK180"/>
    </row>
    <row r="181" spans="25:37">
      <c r="Y181" s="27"/>
      <c r="AK181"/>
    </row>
    <row r="182" spans="25:37">
      <c r="Y182" s="27"/>
      <c r="AK182"/>
    </row>
    <row r="183" spans="25:37">
      <c r="Y183" s="27"/>
      <c r="AK183"/>
    </row>
    <row r="184" spans="25:37">
      <c r="Y184" s="27"/>
      <c r="AK184"/>
    </row>
    <row r="185" spans="25:37">
      <c r="Y185" s="27"/>
      <c r="AK185"/>
    </row>
    <row r="186" spans="25:37">
      <c r="Y186" s="27"/>
      <c r="AK186"/>
    </row>
    <row r="187" spans="25:37">
      <c r="Y187" s="27"/>
      <c r="AK187"/>
    </row>
    <row r="188" spans="25:37">
      <c r="Y188" s="27"/>
      <c r="AK188"/>
    </row>
    <row r="189" spans="25:37">
      <c r="Y189" s="27"/>
      <c r="AK189"/>
    </row>
    <row r="190" spans="25:37">
      <c r="Y190" s="27"/>
      <c r="AK190"/>
    </row>
    <row r="191" spans="25:37">
      <c r="Y191" s="27"/>
      <c r="AK191"/>
    </row>
    <row r="192" spans="25:37">
      <c r="Y192" s="27"/>
      <c r="AK192"/>
    </row>
    <row r="193" spans="25:37">
      <c r="Y193" s="27"/>
      <c r="AK193"/>
    </row>
    <row r="194" spans="25:37">
      <c r="Y194" s="27"/>
      <c r="AK194"/>
    </row>
    <row r="195" spans="25:37">
      <c r="Y195" s="27"/>
      <c r="AK195"/>
    </row>
    <row r="196" spans="25:37">
      <c r="Y196" s="27"/>
      <c r="AK196"/>
    </row>
    <row r="197" spans="25:37">
      <c r="Y197" s="27"/>
      <c r="AK197"/>
    </row>
    <row r="198" spans="25:37">
      <c r="Y198" s="27"/>
      <c r="AK198"/>
    </row>
    <row r="199" spans="25:37">
      <c r="Y199" s="27"/>
      <c r="AK199"/>
    </row>
    <row r="200" spans="25:37">
      <c r="Y200" s="27"/>
      <c r="AK200"/>
    </row>
    <row r="201" spans="25:37">
      <c r="Y201" s="27"/>
      <c r="AK201"/>
    </row>
    <row r="202" spans="25:37">
      <c r="Y202" s="27"/>
      <c r="AK202"/>
    </row>
    <row r="203" spans="25:37">
      <c r="Y203" s="27"/>
      <c r="AK203"/>
    </row>
    <row r="204" spans="25:37">
      <c r="Y204" s="27"/>
      <c r="AK204"/>
    </row>
    <row r="205" spans="25:37">
      <c r="Y205" s="27"/>
      <c r="AK205"/>
    </row>
  </sheetData>
  <hyperlinks>
    <hyperlink ref="A1" location="Index!A1" display="Return to Index" xr:uid="{A737753B-1179-4AAF-A2C5-8609B8D0A23B}"/>
    <hyperlink ref="A22" location="'Educational attainment'!A1" display="Educational attainment of the adult population" xr:uid="{0F1A60D8-E7F0-44B2-92D7-16F074F2B26B}"/>
    <hyperlink ref="A28" location="'Perceptions of safety'!A1" display="Perceptions of safety" xr:uid="{FBA0D565-9884-4837-93A6-319D1F35E74A}"/>
    <hyperlink ref="A20" location="Crime!A1" display="Crime" xr:uid="{FDEF575D-5BC5-4892-8871-EE379FA59619}"/>
    <hyperlink ref="A25" location="'Life expectancy'!A1" display="Life expectancy at birth" xr:uid="{5DBCF33F-56AC-4019-A3B0-60017B0989A6}"/>
    <hyperlink ref="A27" location="'Perceived health'!A1" display="Perceived health" xr:uid="{22F2272A-7139-4A27-A4B2-C3287F2A30CD}"/>
    <hyperlink ref="A26" location="'Life satisfaction'!A1" display="Life satisfaction" xr:uid="{99CF2B34-E4FB-4EC4-A734-A4D4A1235E2B}"/>
    <hyperlink ref="A32" location="'Social connectedness'!A1" display="Social connectedness" xr:uid="{80DE6F56-2BCB-43E0-A80D-7B81133774BC}"/>
    <hyperlink ref="A19" location="'Community pride'!A1" display="Community pride" xr:uid="{3220BFB4-C302-4957-AAD9-5B14E20D0935}"/>
    <hyperlink ref="A29" location="'Physical activity'!A1" display="Physical activity" xr:uid="{09C4BAFB-08B6-43E9-9975-6319DC8CAF88}"/>
    <hyperlink ref="A21" location="'Cultural respect'!A1" display="Cultural respect" xr:uid="{E0DDF114-2949-45E4-8CFD-D01310AF9727}"/>
    <hyperlink ref="A33" location="'Te Reo Māori speakers'!A1" display="Te Reo Māori speakers" xr:uid="{D9BA7368-7A26-4DF6-9C1F-F27B7B00D1F2}"/>
    <hyperlink ref="A16" location="'Regional GDP'!A1" display="Regional GDP" xr:uid="{74B0A51A-4658-4EEF-9F61-27EF19E2AE09}"/>
    <hyperlink ref="A15" location="Income!A1" display="Income" xr:uid="{F71C1DEE-738A-46DF-A72E-77974C538A53}"/>
    <hyperlink ref="A24" location="'Income inequality'!A1" display="Income inequality" xr:uid="{AB234B89-CE94-4D2E-BAA9-39C419A11A84}"/>
    <hyperlink ref="A13" location="'Building activity'!A1" display="Building activity" xr:uid="{DA5CB495-B0F2-4F17-BDB1-187E7B84D439}"/>
    <hyperlink ref="A30" location="'Public transport use'!A1" display="Public transport" xr:uid="{B2C8DD7C-97BC-4289-872A-C9721AF1D9EC}"/>
    <hyperlink ref="A17" location="'Water use'!A1" display="Water use" xr:uid="{B329A092-F89D-4E9A-AD76-0FC1E64AFBBB}"/>
    <hyperlink ref="A37" location="'Environmental attitudes'!A1" display="Environmental attitudes" xr:uid="{ED170AC8-007E-4AD8-829B-172B5EF2EB10}"/>
    <hyperlink ref="A42" location="'River water quality'!A1" display="River water quality for ecological health" xr:uid="{8AD99749-ADA0-483B-A62F-86B917F14B7F}"/>
    <hyperlink ref="A43" location="'Soil quality'!A1" display="Soil quality" xr:uid="{ABBBF29D-836C-4DF4-9AC5-71838B5041B2}"/>
    <hyperlink ref="A41" location="'Rural subdivision'!A1" display="Rural subdivision" xr:uid="{731B9A73-27D4-4554-8AB8-3271BCDBC1CD}"/>
    <hyperlink ref="A35" location="'Air quality'!A1" display="Air quality" xr:uid="{96D6A6E7-69D5-4CFF-A5E8-BCAA7408C317}"/>
    <hyperlink ref="A38" location="'Greenhouse gases'!A1" display="Greenhouse gases" xr:uid="{0D8C3898-CA24-48DB-B8A7-25DE1F963BA4}"/>
    <hyperlink ref="A39" location="'Indigenous vegetation'!A1" display="Indigenous vegetation" xr:uid="{353B40E7-DAA6-41FD-AFA9-2EDB7CD5C305}"/>
    <hyperlink ref="A36" location="'Coastal habitats'!A1" display="Coastal habitats" xr:uid="{A67DF98B-7205-4DC1-9AAD-4D1C526A0E36}"/>
    <hyperlink ref="A44" location="Waste!A1" display="Waste" xr:uid="{1E21D03B-B170-440F-894A-DBCCC5E601A2}"/>
    <hyperlink ref="A40" location="Recycling!A1" display="Recycling" xr:uid="{8CA54811-60BA-4274-A609-32ACB17E12DB}"/>
    <hyperlink ref="A34" location="'Voter turnout'!A1" display="Voter turnout in local elections" xr:uid="{C63345AE-F0E7-40EF-9879-739937A70E45}"/>
    <hyperlink ref="A18" location="'Community engagement'!A1" display="Community engagement" xr:uid="{DA6C0EC5-7217-463B-B4B9-69F235832ADA}"/>
    <hyperlink ref="A23" location="'Housing affordability'!A1" display="Housing affordability" xr:uid="{D60C9A3D-22EE-4DA1-BCC6-C0E79A64022D}"/>
    <hyperlink ref="A14" location="Employment!A1" display="Employment" xr:uid="{4D73A6B7-5A8B-4D8B-BF99-EFA54B0D0766}"/>
    <hyperlink ref="A31" location="'Road safety'!A1" display="Road safety" xr:uid="{BF4B6DDB-8FC4-4BBA-BC13-A2A0DCE65EF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I71"/>
  <sheetViews>
    <sheetView workbookViewId="0"/>
  </sheetViews>
  <sheetFormatPr defaultRowHeight="12.75"/>
  <cols>
    <col min="1" max="1" width="55.46484375" customWidth="1"/>
    <col min="2" max="8" width="16.86328125" customWidth="1"/>
    <col min="9" max="12" width="13.86328125" bestFit="1" customWidth="1"/>
    <col min="13" max="14" width="14.53125" customWidth="1"/>
    <col min="15" max="24" width="13.86328125" bestFit="1" customWidth="1"/>
    <col min="25" max="25" width="14" customWidth="1"/>
    <col min="26" max="35" width="12.1328125" customWidth="1"/>
  </cols>
  <sheetData>
    <row r="1" spans="1:35">
      <c r="A1" s="1" t="s">
        <v>106</v>
      </c>
    </row>
    <row r="3" spans="1:35" ht="17.649999999999999">
      <c r="A3" s="96" t="s">
        <v>183</v>
      </c>
      <c r="B3" s="84"/>
      <c r="C3" s="84"/>
      <c r="D3" s="84"/>
      <c r="E3" s="84"/>
    </row>
    <row r="5" spans="1:35" ht="13.15">
      <c r="A5" s="85" t="s">
        <v>40</v>
      </c>
      <c r="B5" s="84"/>
      <c r="C5" s="171" t="s">
        <v>209</v>
      </c>
      <c r="D5" s="171"/>
    </row>
    <row r="6" spans="1:35" ht="13.15">
      <c r="A6" s="85" t="s">
        <v>506</v>
      </c>
      <c r="B6" s="84"/>
      <c r="C6" s="172" t="s">
        <v>32</v>
      </c>
      <c r="D6" s="171"/>
    </row>
    <row r="8" spans="1:35" ht="13.15">
      <c r="B8" s="2">
        <v>1996</v>
      </c>
      <c r="C8" s="2">
        <v>1997</v>
      </c>
      <c r="D8" s="2">
        <v>1998</v>
      </c>
      <c r="E8" s="2">
        <v>1999</v>
      </c>
      <c r="F8" s="2">
        <v>2000</v>
      </c>
      <c r="G8" s="2">
        <v>2001</v>
      </c>
      <c r="H8" s="2">
        <v>2002</v>
      </c>
      <c r="I8" s="2">
        <v>2003</v>
      </c>
      <c r="J8" s="2">
        <v>2004</v>
      </c>
      <c r="K8" s="2">
        <v>2005</v>
      </c>
      <c r="L8" s="2">
        <v>2006</v>
      </c>
      <c r="M8" s="2">
        <v>2007</v>
      </c>
      <c r="N8" s="2">
        <v>2008</v>
      </c>
      <c r="O8" s="2">
        <v>2009</v>
      </c>
      <c r="P8" s="2">
        <v>2010</v>
      </c>
      <c r="Q8" s="2">
        <v>2011</v>
      </c>
      <c r="R8" s="2">
        <v>2012</v>
      </c>
      <c r="S8" s="2">
        <v>2013</v>
      </c>
      <c r="T8" s="2">
        <v>2014</v>
      </c>
      <c r="U8" s="2">
        <v>2015</v>
      </c>
      <c r="V8" s="2">
        <v>2016</v>
      </c>
      <c r="W8" s="2">
        <v>2017</v>
      </c>
      <c r="X8" s="2">
        <v>2018</v>
      </c>
      <c r="Y8" s="2">
        <v>2019</v>
      </c>
      <c r="Z8" s="2">
        <v>2020</v>
      </c>
      <c r="AA8" s="2">
        <v>2021</v>
      </c>
      <c r="AB8" s="2">
        <v>2022</v>
      </c>
      <c r="AC8" s="2">
        <v>2023</v>
      </c>
      <c r="AD8" s="2"/>
      <c r="AE8" s="2"/>
      <c r="AF8" s="2"/>
      <c r="AG8" s="2"/>
      <c r="AH8" s="2"/>
      <c r="AI8" s="2"/>
    </row>
    <row r="9" spans="1:35">
      <c r="A9" s="134" t="s">
        <v>408</v>
      </c>
      <c r="B9" s="9">
        <v>2118.7848328641644</v>
      </c>
      <c r="C9" s="9">
        <v>2429.062179036116</v>
      </c>
      <c r="D9" s="9">
        <v>2295.3141929790072</v>
      </c>
      <c r="E9" s="9">
        <v>2490.5357964341465</v>
      </c>
      <c r="F9" s="9">
        <v>2043.4134075211905</v>
      </c>
      <c r="G9" s="9">
        <v>2377.8669415323129</v>
      </c>
      <c r="H9" s="9">
        <v>2452.7538539981974</v>
      </c>
      <c r="I9" s="9">
        <v>3346.0151781742588</v>
      </c>
      <c r="J9" s="9">
        <v>3722.4933310668976</v>
      </c>
      <c r="K9" s="9">
        <v>4614.5660489108468</v>
      </c>
      <c r="L9" s="9">
        <v>4060.3838093722311</v>
      </c>
      <c r="M9" s="9">
        <v>4189.9326081078243</v>
      </c>
      <c r="N9" s="9">
        <v>3431.8202907046516</v>
      </c>
      <c r="O9" s="9">
        <v>2688.6519800989095</v>
      </c>
      <c r="P9" s="9">
        <v>2749.8015534956976</v>
      </c>
      <c r="Q9" s="9">
        <v>2180.3425124417117</v>
      </c>
      <c r="R9" s="9">
        <v>2488.8991604702155</v>
      </c>
      <c r="S9" s="9">
        <v>2701.7226357949767</v>
      </c>
      <c r="T9" s="54">
        <v>3021.9270100268823</v>
      </c>
      <c r="U9" s="54">
        <v>3662.8059779768259</v>
      </c>
      <c r="V9" s="54">
        <v>4019.6219061027682</v>
      </c>
      <c r="W9" s="54">
        <v>4240.4645646356039</v>
      </c>
      <c r="X9" s="9">
        <v>4579.1886920656925</v>
      </c>
      <c r="Y9" s="9">
        <v>5117.2176692467574</v>
      </c>
      <c r="Z9" s="9">
        <v>4984.13983734668</v>
      </c>
      <c r="AA9" s="9">
        <v>5960.4100230499207</v>
      </c>
      <c r="AB9" s="9">
        <v>5971.2367719292597</v>
      </c>
      <c r="AC9" s="9">
        <v>4326.9483027171837</v>
      </c>
      <c r="AD9" s="9"/>
      <c r="AE9" s="9"/>
      <c r="AF9" s="9"/>
      <c r="AG9" s="9"/>
      <c r="AH9" s="9"/>
      <c r="AI9" s="9"/>
    </row>
    <row r="11" spans="1:35" ht="13.5">
      <c r="F11" s="7"/>
    </row>
    <row r="14" spans="1:35">
      <c r="U14" s="9"/>
    </row>
    <row r="15" spans="1:35">
      <c r="P15" s="9"/>
      <c r="U15" s="9"/>
    </row>
    <row r="16" spans="1:35">
      <c r="P16" s="9"/>
      <c r="U16" s="9"/>
    </row>
    <row r="17" spans="1:25">
      <c r="P17" s="9"/>
      <c r="U17" s="9"/>
    </row>
    <row r="18" spans="1:25">
      <c r="P18" s="9"/>
      <c r="U18" s="9"/>
    </row>
    <row r="19" spans="1:25">
      <c r="P19" s="9"/>
      <c r="U19" s="9"/>
    </row>
    <row r="20" spans="1:25">
      <c r="P20" s="9"/>
      <c r="U20" s="9"/>
    </row>
    <row r="21" spans="1:25">
      <c r="M21" s="9"/>
      <c r="P21" s="9"/>
      <c r="U21" s="9"/>
    </row>
    <row r="22" spans="1:25">
      <c r="M22" s="9"/>
      <c r="P22" s="9"/>
      <c r="U22" s="9"/>
    </row>
    <row r="23" spans="1:25">
      <c r="M23" s="9"/>
      <c r="P23" s="9"/>
      <c r="U23" s="9"/>
    </row>
    <row r="24" spans="1:25" ht="13.15">
      <c r="A24" s="63"/>
      <c r="B24" s="63"/>
      <c r="C24" s="9"/>
      <c r="D24" s="9"/>
      <c r="E24" s="9"/>
      <c r="F24" s="9"/>
      <c r="G24" s="9"/>
      <c r="H24" s="9"/>
      <c r="I24" s="9"/>
      <c r="J24" s="9"/>
      <c r="K24" s="9"/>
      <c r="L24" s="9"/>
      <c r="M24" s="9"/>
      <c r="N24" s="9"/>
      <c r="O24" s="9"/>
      <c r="P24" s="9"/>
      <c r="Q24" s="9"/>
      <c r="R24" s="9"/>
      <c r="S24" s="9"/>
      <c r="T24" s="9"/>
      <c r="U24" s="9"/>
      <c r="V24" s="9"/>
      <c r="W24" s="9"/>
      <c r="X24" s="9"/>
      <c r="Y24" s="9"/>
    </row>
    <row r="25" spans="1:25" ht="13.15">
      <c r="A25" s="63"/>
      <c r="B25" s="63"/>
      <c r="C25" s="9"/>
      <c r="D25" s="9"/>
      <c r="E25" s="9"/>
      <c r="F25" s="9"/>
      <c r="G25" s="9"/>
      <c r="H25" s="9"/>
      <c r="I25" s="9"/>
      <c r="J25" s="9"/>
      <c r="K25" s="9"/>
      <c r="L25" s="9"/>
      <c r="M25" s="9"/>
      <c r="N25" s="9"/>
      <c r="O25" s="9"/>
      <c r="P25" s="9"/>
      <c r="Q25" s="9"/>
      <c r="R25" s="9"/>
      <c r="S25" s="9"/>
      <c r="T25" s="9"/>
      <c r="U25" s="9"/>
      <c r="V25" s="9"/>
      <c r="W25" s="9"/>
      <c r="X25" s="9"/>
      <c r="Y25" s="9"/>
    </row>
    <row r="26" spans="1:25">
      <c r="M26" s="9"/>
      <c r="P26" s="9"/>
      <c r="U26" s="9"/>
    </row>
    <row r="27" spans="1:25">
      <c r="M27" s="9"/>
      <c r="P27" s="9"/>
      <c r="U27" s="9"/>
    </row>
    <row r="28" spans="1:25">
      <c r="M28" s="9"/>
      <c r="P28" s="9"/>
      <c r="U28" s="9"/>
    </row>
    <row r="29" spans="1:25">
      <c r="M29" s="9"/>
      <c r="P29" s="9"/>
      <c r="U29" s="9"/>
    </row>
    <row r="30" spans="1:25" ht="17.25" customHeight="1">
      <c r="M30" s="9"/>
      <c r="P30" s="9"/>
      <c r="U30" s="9"/>
    </row>
    <row r="31" spans="1:25">
      <c r="M31" s="9"/>
      <c r="P31" s="9"/>
      <c r="U31" s="9"/>
    </row>
    <row r="32" spans="1:25">
      <c r="M32" s="9"/>
      <c r="P32" s="9"/>
      <c r="U32" s="9"/>
    </row>
    <row r="33" spans="1:25">
      <c r="M33" s="9"/>
      <c r="P33" s="54"/>
      <c r="U33" s="9"/>
    </row>
    <row r="34" spans="1:25">
      <c r="M34" s="9"/>
      <c r="P34" s="54"/>
      <c r="U34" s="9"/>
    </row>
    <row r="35" spans="1:25" ht="13.15">
      <c r="A35" s="63"/>
      <c r="B35" s="63"/>
      <c r="C35" s="9"/>
      <c r="D35" s="9"/>
      <c r="E35" s="9"/>
      <c r="F35" s="9"/>
      <c r="G35" s="9"/>
      <c r="H35" s="9"/>
      <c r="I35" s="9"/>
      <c r="J35" s="9"/>
      <c r="K35" s="9"/>
      <c r="L35" s="9"/>
      <c r="M35" s="9"/>
      <c r="N35" s="9"/>
      <c r="O35" s="9"/>
      <c r="P35" s="54"/>
      <c r="Q35" s="9"/>
      <c r="R35" s="9"/>
      <c r="S35" s="9"/>
      <c r="T35" s="9"/>
      <c r="U35" s="9"/>
      <c r="V35" s="9"/>
      <c r="W35" s="9"/>
      <c r="X35" s="9"/>
      <c r="Y35" s="9"/>
    </row>
    <row r="36" spans="1:25" ht="13.15">
      <c r="A36" s="63"/>
      <c r="B36" s="63"/>
      <c r="C36" s="9"/>
      <c r="D36" s="9"/>
      <c r="E36" s="9"/>
      <c r="F36" s="9"/>
      <c r="G36" s="9"/>
      <c r="H36" s="9"/>
      <c r="I36" s="9"/>
      <c r="J36" s="9"/>
      <c r="K36" s="9"/>
      <c r="L36" s="9"/>
      <c r="M36" s="9"/>
      <c r="N36" s="9"/>
      <c r="O36" s="9"/>
      <c r="P36" s="54"/>
      <c r="Q36" s="9"/>
      <c r="R36" s="9"/>
      <c r="S36" s="9"/>
      <c r="T36" s="9"/>
      <c r="U36" s="9"/>
      <c r="V36" s="9"/>
      <c r="W36" s="9"/>
      <c r="X36" s="9"/>
      <c r="Y36" s="9"/>
    </row>
    <row r="37" spans="1:25">
      <c r="M37" s="9"/>
      <c r="P37" s="9"/>
      <c r="U37" s="9"/>
    </row>
    <row r="38" spans="1:25">
      <c r="M38" s="9"/>
      <c r="P38" s="9"/>
      <c r="U38" s="9"/>
    </row>
    <row r="39" spans="1:25">
      <c r="M39" s="54"/>
      <c r="U39" s="9"/>
    </row>
    <row r="40" spans="1:25">
      <c r="M40" s="54"/>
      <c r="U40" s="9"/>
    </row>
    <row r="41" spans="1:25">
      <c r="M41" s="54"/>
      <c r="U41" s="9"/>
    </row>
    <row r="42" spans="1:25">
      <c r="M42" s="54"/>
      <c r="U42" s="9"/>
    </row>
    <row r="43" spans="1:25" ht="13.15">
      <c r="A43" s="63"/>
      <c r="B43" s="9"/>
      <c r="C43" s="9"/>
      <c r="D43" s="9"/>
      <c r="E43" s="9"/>
      <c r="F43" s="9"/>
      <c r="G43" s="9"/>
      <c r="H43" s="9"/>
      <c r="I43" s="9"/>
      <c r="J43" s="9"/>
      <c r="K43" s="9"/>
      <c r="L43" s="9"/>
      <c r="M43" s="9"/>
      <c r="N43" s="9"/>
      <c r="O43" s="9"/>
      <c r="P43" s="9"/>
      <c r="Q43" s="9"/>
      <c r="R43" s="9"/>
      <c r="S43" s="9"/>
      <c r="T43" s="9"/>
      <c r="U43" s="9"/>
      <c r="V43" s="9"/>
      <c r="W43" s="9"/>
      <c r="X43" s="9"/>
      <c r="Y43" s="9"/>
    </row>
    <row r="44" spans="1:25" ht="13.15">
      <c r="A44" s="63"/>
      <c r="B44" s="9"/>
      <c r="C44" s="9"/>
      <c r="D44" s="9"/>
      <c r="E44" s="9"/>
      <c r="F44" s="9"/>
      <c r="G44" s="9"/>
      <c r="H44" s="9"/>
      <c r="I44" s="9"/>
      <c r="J44" s="9"/>
      <c r="K44" s="9"/>
      <c r="L44" s="9"/>
      <c r="M44" s="9"/>
      <c r="N44" s="9"/>
      <c r="O44" s="9"/>
      <c r="P44" s="9"/>
      <c r="Q44" s="9"/>
      <c r="R44" s="9"/>
      <c r="S44" s="9"/>
      <c r="T44" s="9"/>
      <c r="U44" s="9"/>
      <c r="V44" s="9"/>
      <c r="W44" s="9"/>
      <c r="X44" s="9"/>
      <c r="Y44" s="9"/>
    </row>
    <row r="45" spans="1:25">
      <c r="B45" s="9"/>
      <c r="M45" s="9"/>
    </row>
    <row r="46" spans="1:25">
      <c r="B46" s="9"/>
      <c r="M46" s="9"/>
    </row>
    <row r="47" spans="1:25">
      <c r="B47" s="9"/>
    </row>
    <row r="48" spans="1:25">
      <c r="B48" s="9"/>
    </row>
    <row r="49" spans="2:2">
      <c r="B49" s="9"/>
    </row>
    <row r="50" spans="2:2">
      <c r="B50" s="9"/>
    </row>
    <row r="51" spans="2:2">
      <c r="B51" s="9"/>
    </row>
    <row r="52" spans="2:2">
      <c r="B52" s="9"/>
    </row>
    <row r="53" spans="2:2">
      <c r="B53" s="9"/>
    </row>
    <row r="54" spans="2:2">
      <c r="B54" s="9"/>
    </row>
    <row r="55" spans="2:2">
      <c r="B55" s="9"/>
    </row>
    <row r="56" spans="2:2">
      <c r="B56" s="9"/>
    </row>
    <row r="57" spans="2:2">
      <c r="B57" s="9"/>
    </row>
    <row r="58" spans="2:2">
      <c r="B58" s="9"/>
    </row>
    <row r="59" spans="2:2">
      <c r="B59" s="9"/>
    </row>
    <row r="60" spans="2:2">
      <c r="B60" s="9"/>
    </row>
    <row r="61" spans="2:2">
      <c r="B61" s="9"/>
    </row>
    <row r="62" spans="2:2">
      <c r="B62" s="9"/>
    </row>
    <row r="63" spans="2:2">
      <c r="B63" s="9"/>
    </row>
    <row r="64" spans="2:2">
      <c r="B64" s="9"/>
    </row>
    <row r="65" spans="2:2">
      <c r="B65" s="9"/>
    </row>
    <row r="66" spans="2:2">
      <c r="B66" s="9"/>
    </row>
    <row r="67" spans="2:2">
      <c r="B67" s="9"/>
    </row>
    <row r="68" spans="2:2">
      <c r="B68" s="9"/>
    </row>
    <row r="69" spans="2:2">
      <c r="B69" s="9"/>
    </row>
    <row r="70" spans="2:2">
      <c r="B70" s="9"/>
    </row>
    <row r="71" spans="2:2">
      <c r="B71" s="9"/>
    </row>
  </sheetData>
  <phoneticPr fontId="2" type="noConversion"/>
  <hyperlinks>
    <hyperlink ref="A1" location="Index!A1" display="Return to Index" xr:uid="{00000000-0004-0000-1500-000000000000}"/>
  </hyperlinks>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N34"/>
  <sheetViews>
    <sheetView workbookViewId="0"/>
  </sheetViews>
  <sheetFormatPr defaultRowHeight="12.75"/>
  <cols>
    <col min="1" max="1" width="45.86328125" customWidth="1"/>
    <col min="2" max="8" width="9.6640625" customWidth="1"/>
  </cols>
  <sheetData>
    <row r="1" spans="1:24">
      <c r="A1" s="1" t="s">
        <v>106</v>
      </c>
    </row>
    <row r="3" spans="1:24" ht="17.649999999999999">
      <c r="A3" s="96" t="s">
        <v>183</v>
      </c>
      <c r="B3" s="84"/>
      <c r="C3" s="84"/>
      <c r="D3" s="84"/>
      <c r="E3" s="84"/>
      <c r="F3" s="84"/>
      <c r="G3" s="84"/>
      <c r="H3" s="84"/>
      <c r="I3" s="84"/>
    </row>
    <row r="5" spans="1:24" ht="13.15">
      <c r="A5" s="85" t="s">
        <v>160</v>
      </c>
      <c r="B5" s="84"/>
      <c r="C5" s="84"/>
      <c r="D5" s="84"/>
      <c r="E5" s="171" t="s">
        <v>210</v>
      </c>
      <c r="F5" s="171"/>
      <c r="G5" s="171"/>
    </row>
    <row r="6" spans="1:24" ht="13.15">
      <c r="A6" s="85" t="s">
        <v>135</v>
      </c>
      <c r="B6" s="84"/>
      <c r="C6" s="84"/>
      <c r="D6" s="84"/>
      <c r="E6" s="171" t="s">
        <v>32</v>
      </c>
      <c r="F6" s="171"/>
      <c r="G6" s="171"/>
    </row>
    <row r="8" spans="1:24" ht="13.15">
      <c r="B8" s="2">
        <v>2001</v>
      </c>
      <c r="C8" s="2">
        <v>2002</v>
      </c>
      <c r="D8" s="2">
        <v>2003</v>
      </c>
      <c r="E8" s="2">
        <v>2004</v>
      </c>
      <c r="F8" s="2">
        <v>2005</v>
      </c>
      <c r="G8" s="2">
        <v>2006</v>
      </c>
      <c r="H8" s="2">
        <v>2007</v>
      </c>
      <c r="I8" s="2">
        <v>2008</v>
      </c>
      <c r="J8" s="2">
        <v>2009</v>
      </c>
      <c r="K8" s="2">
        <v>2010</v>
      </c>
      <c r="L8" s="2">
        <v>2011</v>
      </c>
      <c r="M8" s="2">
        <v>2012</v>
      </c>
      <c r="N8" s="2">
        <v>2013</v>
      </c>
      <c r="O8" s="2">
        <v>2014</v>
      </c>
      <c r="P8" s="2">
        <v>2015</v>
      </c>
      <c r="Q8" s="2">
        <v>2016</v>
      </c>
      <c r="R8" s="2">
        <v>2017</v>
      </c>
      <c r="S8" s="2">
        <v>2018</v>
      </c>
      <c r="T8" s="2">
        <v>2019</v>
      </c>
      <c r="U8" s="2">
        <v>2020</v>
      </c>
      <c r="V8" s="2">
        <v>2021</v>
      </c>
      <c r="W8" s="2">
        <v>2022</v>
      </c>
      <c r="X8" s="2">
        <v>2023</v>
      </c>
    </row>
    <row r="9" spans="1:24">
      <c r="A9" s="21" t="s">
        <v>529</v>
      </c>
      <c r="B9">
        <v>62.2</v>
      </c>
      <c r="C9">
        <v>64.900000000000006</v>
      </c>
      <c r="D9">
        <v>65.5</v>
      </c>
      <c r="E9">
        <v>65.7</v>
      </c>
      <c r="F9">
        <v>65.599999999999994</v>
      </c>
      <c r="G9" s="13">
        <v>66.7</v>
      </c>
      <c r="H9" s="13">
        <v>67.099999999999994</v>
      </c>
      <c r="I9" s="13">
        <v>66.8</v>
      </c>
      <c r="J9" s="13">
        <v>64.7</v>
      </c>
      <c r="K9" s="13">
        <v>63.6</v>
      </c>
      <c r="L9" s="13">
        <v>64.599999999999994</v>
      </c>
      <c r="M9" s="13">
        <v>62.5</v>
      </c>
      <c r="N9" s="13">
        <v>63.6</v>
      </c>
      <c r="O9" s="13">
        <v>64.2</v>
      </c>
      <c r="P9" s="13">
        <v>64.2</v>
      </c>
      <c r="Q9" s="13">
        <v>65.2</v>
      </c>
      <c r="R9" s="13">
        <v>69</v>
      </c>
      <c r="S9" s="13">
        <v>70</v>
      </c>
      <c r="T9" s="13">
        <v>68</v>
      </c>
      <c r="U9" s="13">
        <v>67.099999999999994</v>
      </c>
      <c r="V9">
        <v>67.2</v>
      </c>
      <c r="W9">
        <v>67.099999999999994</v>
      </c>
      <c r="X9">
        <v>66.400000000000006</v>
      </c>
    </row>
    <row r="20" spans="1:66">
      <c r="S20" s="13"/>
    </row>
    <row r="21" spans="1:66">
      <c r="S21" s="13"/>
    </row>
    <row r="22" spans="1:66">
      <c r="S22" s="13"/>
    </row>
    <row r="23" spans="1:66">
      <c r="S23" s="13"/>
    </row>
    <row r="24" spans="1:66" ht="12.75" customHeight="1">
      <c r="A24" s="70"/>
      <c r="B24" s="70"/>
      <c r="C24" s="3"/>
      <c r="D24" s="3"/>
      <c r="E24" s="3"/>
      <c r="F24" s="3"/>
      <c r="G24" s="3"/>
      <c r="H24" s="3"/>
      <c r="I24" s="3"/>
      <c r="J24" s="3"/>
      <c r="K24" s="3"/>
      <c r="L24" s="3"/>
      <c r="M24" s="3"/>
      <c r="N24" s="3"/>
      <c r="O24" s="3"/>
      <c r="P24" s="3"/>
      <c r="Q24" s="3"/>
      <c r="R24" s="3"/>
      <c r="S24" s="13"/>
      <c r="T24" s="3"/>
      <c r="AY24" s="3"/>
      <c r="AZ24" s="3"/>
      <c r="BA24" s="3"/>
      <c r="BB24" s="3"/>
      <c r="BC24" s="3"/>
      <c r="BD24" s="3"/>
      <c r="BE24" s="3"/>
      <c r="BF24" s="3"/>
      <c r="BG24" s="3"/>
      <c r="BH24" s="3"/>
      <c r="BI24" s="3"/>
      <c r="BJ24" s="3"/>
      <c r="BK24" s="3"/>
      <c r="BL24" s="3"/>
      <c r="BM24" s="3"/>
      <c r="BN24" s="3"/>
    </row>
    <row r="25" spans="1:66">
      <c r="A25" s="71"/>
      <c r="B25" s="71"/>
      <c r="S25" s="13"/>
    </row>
    <row r="26" spans="1:66" ht="12.75" customHeight="1">
      <c r="A26" s="72"/>
      <c r="B26" s="72"/>
      <c r="C26" s="10"/>
      <c r="D26" s="10"/>
      <c r="E26" s="10"/>
      <c r="F26" s="10"/>
      <c r="G26" s="10"/>
      <c r="H26" s="10"/>
      <c r="I26" s="10"/>
      <c r="J26" s="10"/>
      <c r="K26" s="10"/>
      <c r="L26" s="10"/>
      <c r="M26" s="10"/>
      <c r="N26" s="10"/>
      <c r="O26" s="10"/>
      <c r="P26" s="10"/>
      <c r="Q26" s="10"/>
      <c r="R26" s="10"/>
      <c r="S26" s="13"/>
      <c r="T26" s="10"/>
    </row>
    <row r="27" spans="1:66">
      <c r="A27" s="10"/>
      <c r="B27" s="10"/>
      <c r="C27" s="10"/>
      <c r="D27" s="10"/>
      <c r="E27" s="10"/>
      <c r="F27" s="10"/>
      <c r="G27" s="10"/>
      <c r="H27" s="10"/>
      <c r="I27" s="10"/>
      <c r="J27" s="10"/>
      <c r="K27" s="10"/>
      <c r="L27" s="10"/>
      <c r="M27" s="10"/>
      <c r="N27" s="10"/>
      <c r="O27" s="10"/>
      <c r="P27" s="10"/>
      <c r="Q27" s="10"/>
      <c r="R27" s="10"/>
      <c r="S27" s="13"/>
      <c r="T27" s="10"/>
    </row>
    <row r="28" spans="1:66">
      <c r="A28" s="10"/>
      <c r="B28" s="10"/>
      <c r="C28" s="10"/>
      <c r="D28" s="10"/>
      <c r="E28" s="10"/>
      <c r="F28" s="10"/>
      <c r="G28" s="10"/>
      <c r="H28" s="10"/>
      <c r="I28" s="10"/>
      <c r="J28" s="10"/>
      <c r="K28" s="10"/>
      <c r="L28" s="10"/>
      <c r="M28" s="10"/>
      <c r="N28" s="10"/>
      <c r="O28" s="10"/>
      <c r="P28" s="10"/>
      <c r="Q28" s="10"/>
      <c r="R28" s="10"/>
      <c r="S28" s="13"/>
      <c r="T28" s="10"/>
    </row>
    <row r="29" spans="1:66">
      <c r="A29" s="10"/>
      <c r="B29" s="10"/>
      <c r="C29" s="10"/>
      <c r="D29" s="10"/>
      <c r="E29" s="10"/>
      <c r="F29" s="10"/>
      <c r="G29" s="10"/>
      <c r="H29" s="10"/>
      <c r="I29" s="10"/>
      <c r="J29" s="10"/>
      <c r="K29" s="10"/>
      <c r="L29" s="10"/>
      <c r="M29" s="10"/>
      <c r="N29" s="10"/>
      <c r="O29" s="10"/>
      <c r="P29" s="10"/>
      <c r="Q29" s="10"/>
      <c r="R29" s="10"/>
      <c r="S29" s="13"/>
      <c r="T29" s="10"/>
    </row>
    <row r="30" spans="1:66">
      <c r="A30" s="10"/>
      <c r="B30" s="10"/>
      <c r="C30" s="10"/>
      <c r="D30" s="10"/>
      <c r="E30" s="10"/>
      <c r="F30" s="10"/>
      <c r="G30" s="10"/>
      <c r="H30" s="10"/>
      <c r="I30" s="10"/>
      <c r="J30" s="10"/>
      <c r="K30" s="10"/>
      <c r="L30" s="10"/>
      <c r="M30" s="10"/>
      <c r="N30" s="10"/>
      <c r="O30" s="10"/>
      <c r="P30" s="10"/>
      <c r="Q30" s="10"/>
      <c r="R30" s="10"/>
      <c r="S30" s="13"/>
      <c r="T30" s="10"/>
    </row>
    <row r="31" spans="1:66">
      <c r="S31" s="13"/>
    </row>
    <row r="32" spans="1:66">
      <c r="S32" s="13"/>
    </row>
    <row r="33" spans="19:19">
      <c r="S33" s="13"/>
    </row>
    <row r="34" spans="19:19">
      <c r="S34" s="13"/>
    </row>
  </sheetData>
  <phoneticPr fontId="2" type="noConversion"/>
  <hyperlinks>
    <hyperlink ref="A1" location="Index!A1" display="Return to Index" xr:uid="{00000000-0004-0000-1600-000000000000}"/>
  </hyperlinks>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31"/>
  <sheetViews>
    <sheetView workbookViewId="0"/>
  </sheetViews>
  <sheetFormatPr defaultRowHeight="12.75"/>
  <cols>
    <col min="1" max="1" width="44.6640625" customWidth="1"/>
    <col min="2" max="2" width="9.53125" bestFit="1" customWidth="1"/>
  </cols>
  <sheetData>
    <row r="1" spans="1:29">
      <c r="A1" s="1" t="s">
        <v>106</v>
      </c>
    </row>
    <row r="3" spans="1:29" ht="17.649999999999999">
      <c r="A3" s="96" t="s">
        <v>183</v>
      </c>
      <c r="B3" s="84"/>
      <c r="C3" s="84"/>
      <c r="D3" s="84"/>
      <c r="E3" s="84"/>
      <c r="F3" s="84"/>
      <c r="G3" s="84"/>
      <c r="H3" s="84"/>
      <c r="I3" s="84"/>
      <c r="J3" s="84"/>
      <c r="K3" s="84"/>
    </row>
    <row r="5" spans="1:29" ht="13.15">
      <c r="A5" s="85" t="s">
        <v>38</v>
      </c>
      <c r="B5" s="84"/>
      <c r="C5" s="84"/>
      <c r="D5" s="84"/>
      <c r="E5" s="84"/>
      <c r="F5" s="84"/>
      <c r="G5" s="84"/>
      <c r="H5" s="171" t="s">
        <v>205</v>
      </c>
      <c r="I5" s="171"/>
      <c r="J5" s="86"/>
      <c r="K5" s="84"/>
    </row>
    <row r="6" spans="1:29" ht="12.75" customHeight="1">
      <c r="A6" s="2" t="s">
        <v>285</v>
      </c>
      <c r="H6" s="171" t="s">
        <v>32</v>
      </c>
      <c r="I6" s="171"/>
      <c r="J6" s="86"/>
      <c r="K6" s="84"/>
    </row>
    <row r="8" spans="1:29" ht="13.15">
      <c r="A8" s="2"/>
      <c r="B8" s="2">
        <v>1998</v>
      </c>
      <c r="C8" s="2">
        <v>1999</v>
      </c>
      <c r="D8" s="2">
        <v>2000</v>
      </c>
      <c r="E8" s="2">
        <v>2001</v>
      </c>
      <c r="F8" s="2">
        <v>2002</v>
      </c>
      <c r="G8" s="2">
        <v>2003</v>
      </c>
      <c r="H8" s="2">
        <v>2004</v>
      </c>
      <c r="I8" s="2">
        <v>2005</v>
      </c>
      <c r="J8" s="2">
        <v>2006</v>
      </c>
      <c r="K8" s="2">
        <v>2007</v>
      </c>
      <c r="L8" s="2">
        <v>2008</v>
      </c>
      <c r="M8" s="2">
        <v>2009</v>
      </c>
      <c r="N8" s="2">
        <v>2010</v>
      </c>
      <c r="O8" s="2">
        <v>2011</v>
      </c>
      <c r="P8" s="2">
        <v>2012</v>
      </c>
      <c r="Q8" s="2">
        <v>2013</v>
      </c>
      <c r="R8" s="2">
        <v>2014</v>
      </c>
      <c r="S8" s="2">
        <v>2015</v>
      </c>
      <c r="T8" s="2">
        <v>2016</v>
      </c>
      <c r="U8" s="2">
        <v>2017</v>
      </c>
      <c r="V8" s="2">
        <v>2018</v>
      </c>
      <c r="W8" s="2">
        <v>2019</v>
      </c>
      <c r="X8" s="2">
        <v>2020</v>
      </c>
      <c r="Y8" s="2">
        <v>2021</v>
      </c>
      <c r="Z8" s="2">
        <v>2022</v>
      </c>
      <c r="AA8" s="2">
        <v>2023</v>
      </c>
    </row>
    <row r="9" spans="1:29">
      <c r="A9" s="21" t="s">
        <v>534</v>
      </c>
      <c r="B9" s="19">
        <v>1317.652767588083</v>
      </c>
      <c r="C9" s="19">
        <v>1306.1307030400039</v>
      </c>
      <c r="D9" s="19">
        <v>1369.4453162774344</v>
      </c>
      <c r="E9" s="19">
        <v>1388.5477295930525</v>
      </c>
      <c r="F9" s="19">
        <v>1448.5737925058211</v>
      </c>
      <c r="G9" s="19">
        <v>1480.3343325124372</v>
      </c>
      <c r="H9" s="19">
        <v>1423.4965396564135</v>
      </c>
      <c r="I9" s="19">
        <v>1564.6068108557761</v>
      </c>
      <c r="J9" s="19">
        <v>1620.8915400000001</v>
      </c>
      <c r="K9" s="19">
        <v>1669.0087058823531</v>
      </c>
      <c r="L9" s="19">
        <v>1706.9293119698395</v>
      </c>
      <c r="M9" s="19">
        <v>1671.160379278446</v>
      </c>
      <c r="N9" s="19">
        <v>1580.6193903548681</v>
      </c>
      <c r="O9" s="19">
        <v>1500.0790838375108</v>
      </c>
      <c r="P9" s="19">
        <v>1575.1087243150685</v>
      </c>
      <c r="Q9" s="19">
        <v>1596.4772448979593</v>
      </c>
      <c r="R9" s="19">
        <v>1529.4169958158998</v>
      </c>
      <c r="S9" s="19">
        <v>1652.5849499999999</v>
      </c>
      <c r="T9" s="19">
        <v>1861.1502572614108</v>
      </c>
      <c r="U9" s="19">
        <v>1844.0428874388258</v>
      </c>
      <c r="V9" s="19">
        <v>2031.4585861345718</v>
      </c>
      <c r="W9" s="19">
        <v>2058.8323545916555</v>
      </c>
      <c r="X9" s="19">
        <v>2012.8757108801669</v>
      </c>
      <c r="Y9" s="19">
        <v>2061.5353742470961</v>
      </c>
      <c r="Z9" s="19">
        <v>2051.6663388108668</v>
      </c>
      <c r="AA9" s="19">
        <v>2080</v>
      </c>
      <c r="AB9" s="19"/>
      <c r="AC9" s="19"/>
    </row>
    <row r="10" spans="1:29">
      <c r="A10" s="14"/>
      <c r="B10" s="19"/>
      <c r="C10" s="19"/>
      <c r="D10" s="19"/>
      <c r="E10" s="19"/>
      <c r="F10" s="19"/>
      <c r="G10" s="19"/>
      <c r="H10" s="19"/>
      <c r="I10" s="19"/>
      <c r="J10" s="19"/>
      <c r="K10" s="19"/>
    </row>
    <row r="11" spans="1:29">
      <c r="A11" s="14"/>
      <c r="B11" s="19"/>
      <c r="C11" s="19"/>
      <c r="D11" s="19"/>
      <c r="E11" s="19"/>
      <c r="F11" s="19"/>
      <c r="G11" s="19"/>
      <c r="H11" s="19"/>
      <c r="I11" s="19"/>
      <c r="J11" s="19"/>
      <c r="K11" s="19"/>
    </row>
    <row r="12" spans="1:29">
      <c r="A12" s="14"/>
      <c r="B12" s="19"/>
      <c r="C12" s="19"/>
      <c r="D12" s="19"/>
      <c r="E12" s="19"/>
      <c r="F12" s="19"/>
      <c r="G12" s="19"/>
      <c r="H12" s="19"/>
      <c r="I12" s="19"/>
      <c r="J12" s="19"/>
      <c r="K12" s="19"/>
    </row>
    <row r="13" spans="1:29">
      <c r="A13" s="14"/>
      <c r="B13" s="19"/>
      <c r="C13" s="19"/>
      <c r="D13" s="19"/>
      <c r="E13" s="19"/>
      <c r="F13" s="19"/>
      <c r="G13" s="19"/>
      <c r="H13" s="19"/>
      <c r="I13" s="19"/>
      <c r="J13" s="19"/>
      <c r="K13" s="19"/>
    </row>
    <row r="14" spans="1:29">
      <c r="A14" s="14"/>
      <c r="B14" s="19"/>
      <c r="C14" s="19"/>
      <c r="D14" s="19"/>
      <c r="E14" s="19"/>
      <c r="F14" s="19"/>
      <c r="G14" s="19"/>
      <c r="H14" s="19"/>
      <c r="I14" s="19"/>
      <c r="J14" s="19"/>
      <c r="K14" s="19"/>
    </row>
    <row r="15" spans="1:29">
      <c r="A15" s="14"/>
      <c r="B15" s="19"/>
      <c r="C15" s="19"/>
      <c r="D15" s="19"/>
      <c r="E15" s="19"/>
      <c r="F15" s="19"/>
      <c r="G15" s="19"/>
      <c r="H15" s="19"/>
      <c r="I15" s="19"/>
      <c r="J15" s="19"/>
      <c r="K15" s="19"/>
    </row>
    <row r="16" spans="1:29">
      <c r="A16" s="14"/>
      <c r="B16" s="19"/>
      <c r="C16" s="19"/>
      <c r="D16" s="19"/>
      <c r="E16" s="19"/>
      <c r="F16" s="19"/>
      <c r="G16" s="19"/>
      <c r="H16" s="19"/>
      <c r="I16" s="19"/>
      <c r="J16" s="19"/>
      <c r="K16" s="19"/>
    </row>
    <row r="17" spans="1:11">
      <c r="A17" s="14"/>
      <c r="B17" s="19"/>
      <c r="C17" s="19"/>
      <c r="D17" s="19"/>
      <c r="E17" s="19"/>
      <c r="F17" s="19"/>
      <c r="G17" s="19"/>
      <c r="H17" s="19"/>
      <c r="I17" s="19"/>
      <c r="J17" s="19"/>
      <c r="K17" s="19"/>
    </row>
    <row r="18" spans="1:11">
      <c r="A18" s="14"/>
      <c r="B18" s="19"/>
      <c r="C18" s="19"/>
      <c r="D18" s="19"/>
      <c r="E18" s="19"/>
      <c r="F18" s="19"/>
      <c r="G18" s="19"/>
      <c r="H18" s="19"/>
      <c r="I18" s="19"/>
      <c r="J18" s="19"/>
      <c r="K18" s="19"/>
    </row>
    <row r="19" spans="1:11">
      <c r="A19" s="14"/>
      <c r="B19" s="19"/>
      <c r="C19" s="19"/>
      <c r="D19" s="19"/>
      <c r="E19" s="19"/>
      <c r="F19" s="19"/>
      <c r="G19" s="19"/>
      <c r="H19" s="19"/>
      <c r="I19" s="19"/>
      <c r="J19" s="19"/>
      <c r="K19" s="19"/>
    </row>
    <row r="20" spans="1:11">
      <c r="A20" s="14"/>
      <c r="B20" s="19"/>
      <c r="C20" s="19"/>
      <c r="D20" s="19"/>
      <c r="E20" s="19"/>
      <c r="F20" s="19"/>
      <c r="G20" s="19"/>
      <c r="H20" s="19"/>
      <c r="I20" s="19"/>
      <c r="J20" s="19"/>
      <c r="K20" s="19"/>
    </row>
    <row r="21" spans="1:11">
      <c r="A21" s="14"/>
      <c r="B21" s="19"/>
      <c r="C21" s="19"/>
      <c r="D21" s="19"/>
      <c r="E21" s="19"/>
      <c r="F21" s="19"/>
      <c r="G21" s="19"/>
      <c r="H21" s="19"/>
      <c r="I21" s="19"/>
      <c r="J21" s="19"/>
      <c r="K21" s="19"/>
    </row>
    <row r="22" spans="1:11">
      <c r="A22" s="14"/>
      <c r="B22" s="19"/>
      <c r="C22" s="19"/>
      <c r="D22" s="19"/>
      <c r="E22" s="19"/>
      <c r="F22" s="19"/>
      <c r="G22" s="19"/>
      <c r="H22" s="19"/>
      <c r="I22" s="19"/>
      <c r="J22" s="19"/>
      <c r="K22" s="19"/>
    </row>
    <row r="23" spans="1:11">
      <c r="A23" s="14"/>
      <c r="B23" s="19"/>
      <c r="C23" s="19"/>
      <c r="D23" s="19"/>
      <c r="E23" s="19"/>
      <c r="F23" s="19"/>
      <c r="G23" s="19"/>
      <c r="H23" s="19"/>
      <c r="I23" s="19"/>
      <c r="J23" s="19"/>
      <c r="K23" s="19"/>
    </row>
    <row r="24" spans="1:11">
      <c r="A24" s="14"/>
      <c r="B24" s="19"/>
      <c r="C24" s="19"/>
      <c r="D24" s="19"/>
      <c r="E24" s="19"/>
      <c r="F24" s="19"/>
      <c r="G24" s="19"/>
      <c r="H24" s="19"/>
      <c r="I24" s="19"/>
      <c r="J24" s="19"/>
      <c r="K24" s="19"/>
    </row>
    <row r="25" spans="1:11">
      <c r="A25" s="14"/>
      <c r="B25" s="19"/>
      <c r="C25" s="19"/>
      <c r="D25" s="19"/>
      <c r="E25" s="19"/>
      <c r="F25" s="19"/>
      <c r="G25" s="19"/>
      <c r="H25" s="19"/>
      <c r="I25" s="19"/>
      <c r="J25" s="19"/>
      <c r="K25" s="19"/>
    </row>
    <row r="26" spans="1:11">
      <c r="A26" s="14"/>
      <c r="B26" s="19"/>
      <c r="C26" s="19"/>
      <c r="D26" s="19"/>
      <c r="E26" s="19"/>
      <c r="F26" s="19"/>
      <c r="G26" s="19"/>
      <c r="H26" s="19"/>
      <c r="I26" s="19"/>
      <c r="J26" s="19"/>
      <c r="K26" s="19"/>
    </row>
    <row r="27" spans="1:11">
      <c r="A27" s="14"/>
      <c r="B27" s="19"/>
      <c r="C27" s="19"/>
      <c r="D27" s="19"/>
      <c r="E27" s="19"/>
      <c r="F27" s="19"/>
      <c r="G27" s="19"/>
      <c r="H27" s="19"/>
      <c r="I27" s="19"/>
      <c r="J27" s="19"/>
      <c r="K27" s="19"/>
    </row>
    <row r="28" spans="1:11">
      <c r="A28" s="14"/>
      <c r="B28" s="19"/>
      <c r="C28" s="19"/>
      <c r="D28" s="19"/>
      <c r="E28" s="19"/>
      <c r="F28" s="19"/>
      <c r="G28" s="19"/>
      <c r="H28" s="19"/>
      <c r="I28" s="19"/>
      <c r="J28" s="19"/>
      <c r="K28" s="19"/>
    </row>
    <row r="29" spans="1:11">
      <c r="A29" s="14"/>
      <c r="B29" s="19"/>
      <c r="C29" s="19"/>
      <c r="D29" s="19"/>
      <c r="E29" s="19"/>
      <c r="F29" s="19"/>
      <c r="G29" s="19"/>
      <c r="H29" s="19"/>
      <c r="I29" s="19"/>
      <c r="J29" s="19"/>
      <c r="K29" s="19"/>
    </row>
    <row r="30" spans="1:11">
      <c r="A30" s="14"/>
      <c r="B30" s="19"/>
      <c r="C30" s="19"/>
      <c r="D30" s="19"/>
      <c r="E30" s="19"/>
      <c r="F30" s="19"/>
      <c r="G30" s="19"/>
      <c r="H30" s="19"/>
      <c r="I30" s="19"/>
      <c r="J30" s="19"/>
      <c r="K30" s="19"/>
    </row>
    <row r="31" spans="1:11">
      <c r="A31" s="14"/>
      <c r="B31" s="19"/>
      <c r="C31" s="19"/>
      <c r="D31" s="19"/>
      <c r="E31" s="19"/>
      <c r="F31" s="19"/>
      <c r="G31" s="19"/>
      <c r="H31" s="19"/>
      <c r="I31" s="19"/>
      <c r="J31" s="19"/>
      <c r="K31" s="19"/>
    </row>
  </sheetData>
  <phoneticPr fontId="2" type="noConversion"/>
  <hyperlinks>
    <hyperlink ref="A1" location="Index!A1" display="Return to Index" xr:uid="{00000000-0004-0000-1300-000000000000}"/>
  </hyperlinks>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4</vt:i4>
      </vt:variant>
    </vt:vector>
  </HeadingPairs>
  <TitlesOfParts>
    <vt:vector size="49" baseType="lpstr">
      <vt:lpstr>File description</vt:lpstr>
      <vt:lpstr>Index</vt:lpstr>
      <vt:lpstr>Dashboard page 1</vt:lpstr>
      <vt:lpstr>Dashboard page 2</vt:lpstr>
      <vt:lpstr>WPI Progress Circle short-term</vt:lpstr>
      <vt:lpstr>Most recent trends</vt:lpstr>
      <vt:lpstr>Building activity</vt:lpstr>
      <vt:lpstr>Employment</vt:lpstr>
      <vt:lpstr>Income</vt:lpstr>
      <vt:lpstr>Regional GDP</vt:lpstr>
      <vt:lpstr>Water use</vt:lpstr>
      <vt:lpstr>Community engagement</vt:lpstr>
      <vt:lpstr>Community pride</vt:lpstr>
      <vt:lpstr>Crime</vt:lpstr>
      <vt:lpstr>Cultural respect</vt:lpstr>
      <vt:lpstr>Educational attainment</vt:lpstr>
      <vt:lpstr>Housing affordability</vt:lpstr>
      <vt:lpstr>Income inequality</vt:lpstr>
      <vt:lpstr>Life expectancy</vt:lpstr>
      <vt:lpstr>Life satisfaction</vt:lpstr>
      <vt:lpstr>Perceived health</vt:lpstr>
      <vt:lpstr>Perceptions of safety</vt:lpstr>
      <vt:lpstr>Physical activity</vt:lpstr>
      <vt:lpstr>Public transport use</vt:lpstr>
      <vt:lpstr>Road safety</vt:lpstr>
      <vt:lpstr>Social connectedness</vt:lpstr>
      <vt:lpstr>Te Reo Māori speakers</vt:lpstr>
      <vt:lpstr>Voter turnout</vt:lpstr>
      <vt:lpstr>Air quality</vt:lpstr>
      <vt:lpstr>Coastal habitats</vt:lpstr>
      <vt:lpstr>Environmental attitudes</vt:lpstr>
      <vt:lpstr>Greenhouse gases</vt:lpstr>
      <vt:lpstr>Indigenous vegetation</vt:lpstr>
      <vt:lpstr>Recycling</vt:lpstr>
      <vt:lpstr>Rural subdivision</vt:lpstr>
      <vt:lpstr>River water quality</vt:lpstr>
      <vt:lpstr>Soil quality</vt:lpstr>
      <vt:lpstr>Waste</vt:lpstr>
      <vt:lpstr>WPI time series</vt:lpstr>
      <vt:lpstr>WPI Score Card</vt:lpstr>
      <vt:lpstr>WPI Progress Circle long-term</vt:lpstr>
      <vt:lpstr>WPI Relative Wellbeing Circle</vt:lpstr>
      <vt:lpstr>Index of Wellbeing</vt:lpstr>
      <vt:lpstr>NZ and regional comparisons</vt:lpstr>
      <vt:lpstr>List of secondary indicators</vt:lpstr>
      <vt:lpstr>'Dashboard page 1'!Print_Area</vt:lpstr>
      <vt:lpstr>'Dashboard page 2'!Print_Area</vt:lpstr>
      <vt:lpstr>'NZ and regional comparisons'!Print_Area</vt:lpstr>
      <vt:lpstr>'River water quality'!Print_Area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Nicole Field</cp:lastModifiedBy>
  <cp:lastPrinted>2024-06-07T21:46:38Z</cp:lastPrinted>
  <dcterms:created xsi:type="dcterms:W3CDTF">2013-09-28T21:30:12Z</dcterms:created>
  <dcterms:modified xsi:type="dcterms:W3CDTF">2024-07-20T03:28:11Z</dcterms:modified>
</cp:coreProperties>
</file>